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2\02\"/>
    </mc:Choice>
  </mc:AlternateContent>
  <xr:revisionPtr revIDLastSave="0" documentId="13_ncr:1_{113F6A05-D42B-4F78-A974-863C3B1A85E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 iterate="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3" i="4" l="1"/>
  <c r="AD41" i="4"/>
  <c r="AD28" i="4"/>
  <c r="AD39" i="4"/>
  <c r="AD48" i="4"/>
  <c r="AD20" i="4"/>
  <c r="AC54" i="4"/>
  <c r="AC50" i="4"/>
  <c r="AC45" i="4"/>
  <c r="AC38" i="4"/>
  <c r="AC37" i="4" s="1"/>
  <c r="AC31" i="4"/>
  <c r="AC29" i="4"/>
  <c r="AC23" i="4" s="1"/>
  <c r="AC27" i="4"/>
  <c r="AC24" i="4"/>
  <c r="AC17" i="4"/>
  <c r="AC9" i="4"/>
  <c r="AC22" i="4" l="1"/>
  <c r="AC7" i="4" s="1"/>
  <c r="AC8" i="4" s="1"/>
  <c r="AD54" i="4" l="1"/>
  <c r="AD50" i="4"/>
  <c r="AD45" i="4"/>
  <c r="AD38" i="4"/>
  <c r="AD37" i="4" s="1"/>
  <c r="AD31" i="4"/>
  <c r="AD29" i="4"/>
  <c r="AD27" i="4"/>
  <c r="AD24" i="4"/>
  <c r="AD17" i="4"/>
  <c r="AD9" i="4"/>
  <c r="AD23" i="4" l="1"/>
  <c r="AD22" i="4" s="1"/>
  <c r="AD7" i="4" s="1"/>
  <c r="AD8" i="4" s="1"/>
  <c r="AG34" i="4" l="1"/>
  <c r="AG33" i="4"/>
  <c r="AG32" i="4"/>
  <c r="AB28" i="4"/>
  <c r="Y10" i="4"/>
  <c r="Y60" i="4"/>
  <c r="V54" i="4"/>
  <c r="Y18" i="4"/>
  <c r="Y20" i="4"/>
  <c r="Y19" i="4"/>
  <c r="Y16" i="4"/>
  <c r="Y15" i="4"/>
  <c r="Y14" i="4"/>
  <c r="Y13" i="4"/>
  <c r="Y12" i="4"/>
  <c r="Y11" i="4"/>
  <c r="AA28" i="4" l="1"/>
  <c r="AA26" i="4"/>
  <c r="U10" i="4" l="1"/>
  <c r="T50" i="4"/>
  <c r="S50" i="4"/>
  <c r="T17" i="4"/>
  <c r="T9" i="4" s="1"/>
  <c r="T24" i="4"/>
  <c r="T23" i="4" s="1"/>
  <c r="T27" i="4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4" i="4"/>
  <c r="AF33" i="4"/>
  <c r="AF32" i="4"/>
  <c r="Y52" i="4"/>
  <c r="Y53" i="4"/>
  <c r="Y51" i="4"/>
  <c r="V50" i="4"/>
  <c r="W50" i="4"/>
  <c r="X50" i="4"/>
  <c r="U52" i="4"/>
  <c r="U50" i="4" s="1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3" i="4" l="1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4" i="4"/>
  <c r="AF46" i="4"/>
  <c r="AF47" i="4"/>
  <c r="X17" i="4" l="1"/>
  <c r="V24" i="4" l="1"/>
  <c r="AE63" i="4"/>
  <c r="Y42" i="4"/>
  <c r="Y41" i="4"/>
  <c r="AA24" i="4"/>
  <c r="AB24" i="4"/>
  <c r="X9" i="4" l="1"/>
  <c r="AB38" i="4"/>
  <c r="AB37" i="4" s="1"/>
  <c r="AM63" i="4"/>
  <c r="Q63" i="4"/>
  <c r="AM62" i="4"/>
  <c r="AG62" i="4"/>
  <c r="AF62" i="4"/>
  <c r="Y62" i="4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AQ59" i="4" s="1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AO55" i="4" s="1"/>
  <c r="Y55" i="4"/>
  <c r="U55" i="4"/>
  <c r="R55" i="4"/>
  <c r="P55" i="4"/>
  <c r="M55" i="4"/>
  <c r="K55" i="4"/>
  <c r="AM54" i="4"/>
  <c r="AB54" i="4"/>
  <c r="AA54" i="4"/>
  <c r="Z54" i="4"/>
  <c r="X54" i="4"/>
  <c r="O54" i="4"/>
  <c r="N54" i="4"/>
  <c r="L54" i="4"/>
  <c r="J54" i="4"/>
  <c r="AT53" i="4"/>
  <c r="AM53" i="4"/>
  <c r="AF53" i="4"/>
  <c r="K53" i="4"/>
  <c r="R53" i="4"/>
  <c r="P53" i="4"/>
  <c r="AM51" i="4"/>
  <c r="AG51" i="4"/>
  <c r="AF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G41" i="4"/>
  <c r="AF41" i="4"/>
  <c r="AG40" i="4"/>
  <c r="AF40" i="4"/>
  <c r="Y40" i="4"/>
  <c r="U40" i="4"/>
  <c r="R40" i="4"/>
  <c r="P40" i="4"/>
  <c r="AG39" i="4"/>
  <c r="AF39" i="4"/>
  <c r="AO39" i="4" s="1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AF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AF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AF26" i="4"/>
  <c r="Y26" i="4"/>
  <c r="R26" i="4"/>
  <c r="AG25" i="4"/>
  <c r="AF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AF20" i="4"/>
  <c r="U20" i="4"/>
  <c r="R20" i="4"/>
  <c r="P20" i="4"/>
  <c r="M20" i="4"/>
  <c r="K20" i="4"/>
  <c r="AM19" i="4"/>
  <c r="AG19" i="4"/>
  <c r="AF19" i="4"/>
  <c r="U19" i="4"/>
  <c r="R19" i="4"/>
  <c r="P19" i="4"/>
  <c r="M19" i="4"/>
  <c r="K19" i="4"/>
  <c r="AM18" i="4"/>
  <c r="AG18" i="4"/>
  <c r="AF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AF16" i="4"/>
  <c r="U16" i="4"/>
  <c r="R16" i="4"/>
  <c r="P16" i="4"/>
  <c r="M16" i="4"/>
  <c r="K16" i="4"/>
  <c r="AM15" i="4"/>
  <c r="AG15" i="4"/>
  <c r="AF15" i="4"/>
  <c r="U15" i="4"/>
  <c r="R15" i="4"/>
  <c r="P15" i="4"/>
  <c r="M15" i="4"/>
  <c r="K15" i="4"/>
  <c r="AM14" i="4"/>
  <c r="AG14" i="4"/>
  <c r="AF14" i="4"/>
  <c r="U14" i="4"/>
  <c r="R14" i="4"/>
  <c r="P14" i="4"/>
  <c r="M14" i="4"/>
  <c r="K14" i="4"/>
  <c r="AM13" i="4"/>
  <c r="AG13" i="4"/>
  <c r="AF13" i="4"/>
  <c r="AQ13" i="4" s="1"/>
  <c r="P13" i="4"/>
  <c r="M13" i="4"/>
  <c r="K13" i="4"/>
  <c r="AM12" i="4"/>
  <c r="AG12" i="4"/>
  <c r="AF12" i="4"/>
  <c r="U12" i="4"/>
  <c r="R12" i="4"/>
  <c r="P12" i="4"/>
  <c r="M12" i="4"/>
  <c r="AS12" i="4" s="1"/>
  <c r="K12" i="4"/>
  <c r="AM11" i="4"/>
  <c r="AG11" i="4"/>
  <c r="AF11" i="4"/>
  <c r="U11" i="4"/>
  <c r="R11" i="4"/>
  <c r="P11" i="4"/>
  <c r="M11" i="4"/>
  <c r="K11" i="4"/>
  <c r="AT10" i="4"/>
  <c r="AM10" i="4"/>
  <c r="AG10" i="4"/>
  <c r="AF10" i="4"/>
  <c r="AQ10" i="4" s="1"/>
  <c r="R10" i="4"/>
  <c r="P10" i="4"/>
  <c r="M10" i="4"/>
  <c r="K10" i="4"/>
  <c r="AM7" i="4"/>
  <c r="AN11" i="4" l="1"/>
  <c r="AQ11" i="4"/>
  <c r="AN56" i="4"/>
  <c r="AO56" i="4"/>
  <c r="AK56" i="4"/>
  <c r="AQ62" i="4"/>
  <c r="Y54" i="4"/>
  <c r="AQ43" i="4"/>
  <c r="AN19" i="4"/>
  <c r="AQ19" i="4"/>
  <c r="AH61" i="4"/>
  <c r="AL57" i="4"/>
  <c r="AO57" i="4"/>
  <c r="AN58" i="4"/>
  <c r="AO58" i="4"/>
  <c r="AO14" i="4"/>
  <c r="AQ14" i="4"/>
  <c r="AO15" i="4"/>
  <c r="AQ15" i="4"/>
  <c r="AO16" i="4"/>
  <c r="AQ16" i="4"/>
  <c r="AK12" i="4"/>
  <c r="AQ12" i="4"/>
  <c r="AL18" i="4"/>
  <c r="AQ18" i="4"/>
  <c r="AP60" i="4"/>
  <c r="AO10" i="4"/>
  <c r="AF50" i="4"/>
  <c r="AG37" i="4"/>
  <c r="AN53" i="4"/>
  <c r="AJ53" i="4"/>
  <c r="R38" i="4"/>
  <c r="R37" i="4" s="1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K54" i="4"/>
  <c r="U54" i="4"/>
  <c r="AN42" i="4"/>
  <c r="AK42" i="4"/>
  <c r="AL13" i="4"/>
  <c r="AN46" i="4"/>
  <c r="AP21" i="4"/>
  <c r="Y45" i="4"/>
  <c r="Y17" i="4"/>
  <c r="Y9" i="4" s="1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O53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K14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Q51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S24" i="4" s="1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Q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P13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F54" i="4"/>
  <c r="AS55" i="4"/>
  <c r="M54" i="4"/>
  <c r="AI55" i="4"/>
  <c r="AH41" i="4"/>
  <c r="AH13" i="4"/>
  <c r="AR13" i="4"/>
  <c r="AN15" i="4"/>
  <c r="AR18" i="4"/>
  <c r="AJ18" i="4"/>
  <c r="AI18" i="4"/>
  <c r="AF17" i="4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P1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F9" i="4" l="1"/>
  <c r="AQ17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Y7" i="4" s="1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AA63" i="4" l="1"/>
  <c r="P8" i="4"/>
  <c r="V3" i="4"/>
  <c r="W8" i="4"/>
  <c r="V65" i="4"/>
  <c r="AG7" i="4"/>
  <c r="Y8" i="4"/>
  <c r="Y63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Z3" i="4" l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G63" i="4" l="1"/>
  <c r="AL63" i="4"/>
  <c r="AK63" i="4"/>
  <c r="AR63" i="4"/>
  <c r="AJ63" i="4"/>
  <c r="AQ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<sst xmlns="http://schemas.openxmlformats.org/spreadsheetml/2006/main" count="141" uniqueCount="116">
  <si>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</si>
  <si>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</si>
  <si>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</si>
  <si>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</si>
  <si>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</si>
  <si>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</si>
  <si>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</si>
  <si>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</si>
  <si>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</si>
  <si>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</si>
  <si>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</si>
  <si>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</si>
  <si>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</si>
  <si>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</si>
  <si>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</si>
  <si>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</si>
  <si>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</si>
  <si>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</si>
  <si>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</si>
  <si>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</si>
  <si>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</si>
  <si>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</si>
  <si>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</si>
  <si>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</si>
  <si>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</si>
  <si>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</si>
  <si>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</si>
  <si>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</si>
  <si>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</si>
  <si>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</si>
  <si>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</si>
  <si>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</si>
  <si>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</si>
  <si>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</si>
  <si>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</si>
  <si>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</si>
  <si>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</si>
  <si>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</si>
  <si>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</si>
  <si>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</si>
  <si>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</si>
  <si>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</si>
  <si>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</si>
  <si>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</si>
  <si>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</si>
  <si>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</si>
  <si>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</si>
  <si>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</si>
  <si>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</si>
  <si>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</si>
  <si>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</si>
  <si>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</si>
  <si>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</si>
  <si>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</si>
  <si>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</si>
  <si>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</si>
  <si>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</si>
  <si>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</si>
  <si>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</si>
  <si>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</si>
  <si>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</si>
  <si>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</si>
  <si>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</si>
  <si>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</si>
  <si>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</si>
  <si>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</si>
  <si>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</si>
  <si>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</si>
  <si>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</si>
  <si>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</si>
  <si>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</si>
  <si>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в связи с уменьшением исков в суды общей юрисдикции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</si>
  <si>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</si>
  <si>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</si>
  <si>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</si>
  <si>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</si>
  <si>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</si>
  <si>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начаты мероприятия по направлению увед-й по урегурир. образовавшейся задолженности</t>
  </si>
  <si>
    <t>в связи с заключением договоров аренды на краткосрочный период (11 мес.). Ведется работа по заключению договоров аренды на новый срок (АО "Почта России", Филиал ГУП СК "Ставэлектросеть")</t>
  </si>
  <si>
    <t>этот вид дохода носит заявительный характер, уменьшилось количество обращений граждан и юридических лиц о выкупе земельных участков</t>
  </si>
  <si>
    <t xml:space="preserve">в связи с сокращением количества проведенных аукционов;  
снижение кадастровой стоимости
</t>
  </si>
  <si>
    <t>в связи с отсутствием уплаты по расчету за 2023 год (образовавшаяся задолженность);
19 налогоплательщиков увеличили срок по патенту (с 3-х месяцев на 12 месяцев)</t>
  </si>
  <si>
    <t>откл за отч период к  плану года</t>
  </si>
  <si>
    <t>начальник ФУ АБМО СК</t>
  </si>
  <si>
    <t xml:space="preserve">за счет роста ФОТ за январь – июль 2023 года (по данным Управления Федеральной службы государственной статистики по Северо-Кавказскому Федеральному округу) на 13.4% </t>
  </si>
  <si>
    <t>непредставление уведомлений об исчисленных суммах, уменьшение сумм кадастровой стоимости по решению суда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</si>
  <si>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</si>
  <si>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</si>
  <si>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</si>
  <si>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</si>
  <si>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</si>
  <si>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</si>
  <si>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</si>
  <si>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</si>
  <si>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</si>
  <si>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</si>
  <si>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</si>
  <si>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</si>
  <si>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</si>
  <si>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</si>
  <si>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</si>
  <si>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</si>
  <si>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</si>
  <si>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</si>
  <si>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</si>
  <si>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</si>
  <si>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>откл.+- от исполнения на 01.02.2023 г  (в сопоставимых условиях 2024 года)</t>
  </si>
  <si>
    <t>Исполнение с 01.01.2024 по 25.01.2024
(53,08%)</t>
  </si>
  <si>
    <r>
      <t xml:space="preserve">Исполнение с 01.01.2024 по 01.02.2024
</t>
    </r>
    <r>
      <rPr>
        <b/>
        <sz val="14"/>
        <rFont val="Times New Roman"/>
        <family val="1"/>
        <charset val="204"/>
      </rPr>
      <t>(53,08%)</t>
    </r>
  </si>
  <si>
    <t>с 19.01.2024 по 25.01.2024 (неделя) П</t>
  </si>
  <si>
    <t>с 26.01.2024 по 01.02.2024 (неделя) Т</t>
  </si>
  <si>
    <r>
      <t>Исполнено с 01.01.2023 года по 01.02.2023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</si>
  <si>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Исполнено с 01.01.2023 по 01.02.2023 год</t>
  </si>
  <si>
    <t>на 2 месяца 2024 года</t>
  </si>
  <si>
    <t>откл.+- от плана за 2 месяца 2024 года</t>
  </si>
  <si>
    <t>Исполнение бюджета Благодарненского муниципального округа Ставропольского края по доходам по состоянию на 01.02.2024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</si>
</sst>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1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V59" sqref="AV59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6.140625" style="1" customWidth="1"/>
    <col min="22" max="22" width="24.42578125" style="1" hidden="1" customWidth="1"/>
    <col min="23" max="23" width="23.140625" style="1" hidden="1" customWidth="1"/>
    <col min="24" max="24" width="22.28515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0.28515625" style="1" hidden="1" customWidth="1"/>
    <col min="29" max="29" width="22.140625" style="1" hidden="1" customWidth="1"/>
    <col min="30" max="30" width="21.5703125" style="1" hidden="1" customWidth="1"/>
    <col min="31" max="31" width="24.85546875" style="1" hidden="1" customWidth="1"/>
    <col min="32" max="32" width="26.2851562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7" t="s">
        <v>115</v>
      </c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3.1060555205161013</v>
      </c>
      <c r="U3" s="104"/>
      <c r="V3" s="106">
        <f>V8/S8%</f>
        <v>3.0589608196475213</v>
      </c>
      <c r="W3" s="106"/>
      <c r="X3" s="105"/>
      <c r="Y3" s="80"/>
      <c r="Z3" s="80">
        <f>U3-Y63</f>
        <v>-147614596.68640703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8" t="s">
        <v>34</v>
      </c>
      <c r="J4" s="129" t="s">
        <v>45</v>
      </c>
      <c r="K4" s="129" t="s">
        <v>51</v>
      </c>
      <c r="L4" s="136" t="s">
        <v>56</v>
      </c>
      <c r="M4" s="129" t="s">
        <v>54</v>
      </c>
      <c r="N4" s="129" t="s">
        <v>53</v>
      </c>
      <c r="O4" s="136" t="s">
        <v>50</v>
      </c>
      <c r="P4" s="129" t="s">
        <v>63</v>
      </c>
      <c r="Q4" s="136" t="s">
        <v>65</v>
      </c>
      <c r="R4" s="129" t="s">
        <v>64</v>
      </c>
      <c r="S4" s="128" t="s">
        <v>91</v>
      </c>
      <c r="T4" s="136" t="s">
        <v>90</v>
      </c>
      <c r="U4" s="129" t="s">
        <v>92</v>
      </c>
      <c r="V4" s="136" t="s">
        <v>112</v>
      </c>
      <c r="W4" s="139" t="s">
        <v>82</v>
      </c>
      <c r="X4" s="125" t="s">
        <v>89</v>
      </c>
      <c r="Y4" s="129" t="s">
        <v>111</v>
      </c>
      <c r="Z4" s="130" t="s">
        <v>66</v>
      </c>
      <c r="AA4" s="132" t="s">
        <v>105</v>
      </c>
      <c r="AB4" s="133"/>
      <c r="AC4" s="122" t="s">
        <v>57</v>
      </c>
      <c r="AD4" s="122"/>
      <c r="AE4" s="134" t="s">
        <v>107</v>
      </c>
      <c r="AF4" s="129" t="s">
        <v>108</v>
      </c>
      <c r="AG4" s="126" t="s">
        <v>43</v>
      </c>
      <c r="AH4" s="128" t="s">
        <v>67</v>
      </c>
      <c r="AI4" s="128"/>
      <c r="AJ4" s="122" t="s">
        <v>104</v>
      </c>
      <c r="AK4" s="122"/>
      <c r="AL4" s="122" t="s">
        <v>52</v>
      </c>
      <c r="AM4" s="122"/>
      <c r="AN4" s="122" t="s">
        <v>114</v>
      </c>
      <c r="AO4" s="122"/>
      <c r="AP4" s="122" t="s">
        <v>106</v>
      </c>
      <c r="AQ4" s="122"/>
      <c r="AR4" s="122" t="s">
        <v>55</v>
      </c>
      <c r="AS4" s="122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8"/>
      <c r="J5" s="129"/>
      <c r="K5" s="129"/>
      <c r="L5" s="136"/>
      <c r="M5" s="129"/>
      <c r="N5" s="129"/>
      <c r="O5" s="136"/>
      <c r="P5" s="129"/>
      <c r="Q5" s="136"/>
      <c r="R5" s="129"/>
      <c r="S5" s="128"/>
      <c r="T5" s="136"/>
      <c r="U5" s="129"/>
      <c r="V5" s="136"/>
      <c r="W5" s="140"/>
      <c r="X5" s="125"/>
      <c r="Y5" s="129"/>
      <c r="Z5" s="131"/>
      <c r="AA5" s="41" t="s">
        <v>68</v>
      </c>
      <c r="AB5" s="107" t="s">
        <v>113</v>
      </c>
      <c r="AC5" s="79" t="s">
        <v>109</v>
      </c>
      <c r="AD5" s="79" t="s">
        <v>110</v>
      </c>
      <c r="AE5" s="135"/>
      <c r="AF5" s="129"/>
      <c r="AG5" s="127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3" t="s">
        <v>8</v>
      </c>
      <c r="C7" s="123"/>
      <c r="D7" s="123"/>
      <c r="E7" s="123"/>
      <c r="F7" s="123"/>
      <c r="G7" s="123"/>
      <c r="H7" s="123"/>
      <c r="I7" s="123"/>
      <c r="J7" s="44">
        <f t="shared" ref="J7:P7" si="0">J10+J11+J13+J14+J15+J16+J17+J20+J23+J36+J37+J45+J48+J50+J12</f>
        <v>360649780.94999993</v>
      </c>
      <c r="K7" s="44">
        <f t="shared" si="0"/>
        <v>345072092.21513432</v>
      </c>
      <c r="L7" s="44">
        <f t="shared" si="0"/>
        <v>126453042.85999998</v>
      </c>
      <c r="M7" s="44">
        <f t="shared" si="0"/>
        <v>118990570.92554319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14585506.16</v>
      </c>
      <c r="W7" s="44">
        <f>V7/S7%</f>
        <v>3.5588601910536699</v>
      </c>
      <c r="X7" s="44">
        <f>X9+X22</f>
        <v>0</v>
      </c>
      <c r="Y7" s="44">
        <f>Y9+Y22</f>
        <v>21289938.296407033</v>
      </c>
      <c r="Z7" s="44">
        <f t="shared" ref="Z7:AF7" si="2">Z9+Z22</f>
        <v>400415099.64999998</v>
      </c>
      <c r="AA7" s="44">
        <f t="shared" si="2"/>
        <v>577599454.96000004</v>
      </c>
      <c r="AB7" s="44">
        <f t="shared" si="2"/>
        <v>44901764.789999999</v>
      </c>
      <c r="AC7" s="44">
        <f t="shared" si="2"/>
        <v>3266339.0900000003</v>
      </c>
      <c r="AD7" s="44">
        <f t="shared" ref="AD7" si="3">AD9+AD22</f>
        <v>16288562.83</v>
      </c>
      <c r="AE7" s="44">
        <v>6733953.4600000009</v>
      </c>
      <c r="AF7" s="44">
        <f t="shared" si="2"/>
        <v>23022516.289999999</v>
      </c>
      <c r="AG7" s="44">
        <f>AD7-AC7</f>
        <v>13022223.74</v>
      </c>
      <c r="AH7" s="44">
        <f t="shared" ref="AH7:AH63" si="4">AF7-Z7</f>
        <v>-377392583.35999995</v>
      </c>
      <c r="AI7" s="44">
        <f t="shared" ref="AI7:AI28" si="5">AF7/Z7*100</f>
        <v>5.7496623654112486</v>
      </c>
      <c r="AJ7" s="44">
        <f>AF7-AA7</f>
        <v>-554576938.67000008</v>
      </c>
      <c r="AK7" s="44">
        <f>AF7/AA7%</f>
        <v>3.9858964706942732</v>
      </c>
      <c r="AL7" s="44" t="e">
        <f>AF7-#REF!</f>
        <v>#REF!</v>
      </c>
      <c r="AM7" s="44" t="e">
        <f>IF(#REF!=0,0,AF7/#REF!*100)</f>
        <v>#REF!</v>
      </c>
      <c r="AN7" s="44">
        <f>AF7-AB7</f>
        <v>-21879248.5</v>
      </c>
      <c r="AO7" s="44">
        <f>AF7/AB7*100</f>
        <v>51.273076676770856</v>
      </c>
      <c r="AP7" s="44">
        <f>AF7-Y7</f>
        <v>1732577.9935929663</v>
      </c>
      <c r="AQ7" s="44">
        <f>AF7/Y7%</f>
        <v>108.13801322235567</v>
      </c>
      <c r="AR7" s="44">
        <f>AF7-M7</f>
        <v>-95968054.635543197</v>
      </c>
      <c r="AS7" s="44">
        <f>IF(M7=0,0,AF7/M7*100)</f>
        <v>19.348185415805798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11320633.949999999</v>
      </c>
      <c r="W8" s="44">
        <f t="shared" ref="W8:W9" si="7">V8/S8%</f>
        <v>3.0589608196475213</v>
      </c>
      <c r="X8" s="52">
        <f t="shared" ref="X8:AC8" si="8">X7-X37-X53</f>
        <v>0</v>
      </c>
      <c r="Y8" s="52">
        <f t="shared" si="8"/>
        <v>18025066.086407032</v>
      </c>
      <c r="Z8" s="52">
        <f t="shared" si="8"/>
        <v>372608810</v>
      </c>
      <c r="AA8" s="52">
        <f t="shared" si="8"/>
        <v>545150607.50999999</v>
      </c>
      <c r="AB8" s="52">
        <f t="shared" si="8"/>
        <v>40207087.489999995</v>
      </c>
      <c r="AC8" s="52">
        <f t="shared" si="8"/>
        <v>3049524.9200000004</v>
      </c>
      <c r="AD8" s="52">
        <f t="shared" ref="AD8" si="9">AD7-AD37-AD53</f>
        <v>16004982.83</v>
      </c>
      <c r="AE8" s="52">
        <v>6517138.290000001</v>
      </c>
      <c r="AF8" s="52">
        <f>AF7-AF37-AF53</f>
        <v>22522121.119999997</v>
      </c>
      <c r="AG8" s="51">
        <f t="shared" ref="AG8:AG63" si="10">AD8-AC8</f>
        <v>12955457.91</v>
      </c>
      <c r="AH8" s="64">
        <f t="shared" si="4"/>
        <v>-350086688.88</v>
      </c>
      <c r="AI8" s="64">
        <f t="shared" si="5"/>
        <v>6.0444413861282555</v>
      </c>
      <c r="AJ8" s="51">
        <f t="shared" ref="AJ8:AJ62" si="11">AF8-AA8</f>
        <v>-522628486.38999999</v>
      </c>
      <c r="AK8" s="51">
        <f>AF8/AA8%</f>
        <v>4.1313576119580606</v>
      </c>
      <c r="AL8" s="51"/>
      <c r="AM8" s="51"/>
      <c r="AN8" s="64">
        <f t="shared" ref="AN8:AN63" si="12">AF8-AB8</f>
        <v>-17684966.369999997</v>
      </c>
      <c r="AO8" s="64">
        <f t="shared" ref="AO8:AO63" si="13">AF8/AB8*100</f>
        <v>56.015301097353863</v>
      </c>
      <c r="AP8" s="51">
        <f t="shared" ref="AP8:AP63" si="14">AF8-Y8</f>
        <v>4497055.0335929655</v>
      </c>
      <c r="AQ8" s="51">
        <f>AF8/Y8%</f>
        <v>124.94889623169959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10043743.880000001</v>
      </c>
      <c r="W9" s="44">
        <f t="shared" si="7"/>
        <v>3.1060555205161013</v>
      </c>
      <c r="X9" s="70">
        <f t="shared" si="16"/>
        <v>0</v>
      </c>
      <c r="Y9" s="70">
        <f>Y10+Y11+Y12+Y13+Y14+Y15+Y16+Y17+Y20+Y21</f>
        <v>16748176.016407033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39743981</v>
      </c>
      <c r="AC9" s="70">
        <f t="shared" ref="AC9" si="17">AC10+AC11+AC12+AC13+AC14+AC15+AC16+AC17+AC20+AC21</f>
        <v>2798163.24</v>
      </c>
      <c r="AD9" s="70">
        <f t="shared" ref="AD9" si="18">AD10+AD11+AD12+AD13+AD14+AD15+AD16+AD17+AD20+AD21</f>
        <v>14614415.68</v>
      </c>
      <c r="AE9" s="70">
        <v>6093184.1600000011</v>
      </c>
      <c r="AF9" s="70">
        <f>AF10+AF11+AF12+AF13+AF14+AF15+AF16+AF17+AF20+AF21</f>
        <v>20707599.84</v>
      </c>
      <c r="AG9" s="71">
        <f t="shared" si="10"/>
        <v>11816252.439999999</v>
      </c>
      <c r="AH9" s="72"/>
      <c r="AI9" s="72"/>
      <c r="AJ9" s="71">
        <f t="shared" si="11"/>
        <v>-473182737.67000002</v>
      </c>
      <c r="AK9" s="71">
        <f>AF9/AA9%</f>
        <v>4.1927525742656844</v>
      </c>
      <c r="AL9" s="73"/>
      <c r="AM9" s="73"/>
      <c r="AN9" s="72">
        <f t="shared" si="12"/>
        <v>-19036381.16</v>
      </c>
      <c r="AO9" s="72">
        <f t="shared" si="13"/>
        <v>52.102480222099544</v>
      </c>
      <c r="AP9" s="71">
        <f t="shared" si="14"/>
        <v>3959423.8235929664</v>
      </c>
      <c r="AQ9" s="71">
        <f>AF9/Y9%</f>
        <v>123.64092555341067</v>
      </c>
      <c r="AR9" s="23"/>
      <c r="AS9" s="23"/>
      <c r="AT9" s="49"/>
    </row>
    <row r="10" spans="1:47" s="10" customFormat="1" ht="91.5" hidden="1" customHeight="1" x14ac:dyDescent="0.3">
      <c r="A10" s="9"/>
      <c r="B10" s="124" t="s">
        <v>26</v>
      </c>
      <c r="C10" s="124"/>
      <c r="D10" s="124"/>
      <c r="E10" s="124"/>
      <c r="F10" s="124"/>
      <c r="G10" s="124"/>
      <c r="H10" s="124"/>
      <c r="I10" s="124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10050335.18</v>
      </c>
      <c r="W10" s="12"/>
      <c r="X10" s="46"/>
      <c r="Y10" s="47">
        <f>V10/31.84%*53.08%</f>
        <v>16754767.316407032</v>
      </c>
      <c r="Z10" s="46">
        <v>188231000</v>
      </c>
      <c r="AA10" s="46">
        <v>340259137.50999999</v>
      </c>
      <c r="AB10" s="46">
        <v>32609053</v>
      </c>
      <c r="AC10" s="46">
        <v>808215.84</v>
      </c>
      <c r="AD10" s="46">
        <v>10803045.51</v>
      </c>
      <c r="AE10" s="46">
        <v>1015565.0499999999</v>
      </c>
      <c r="AF10" s="46">
        <f>AE10+AD10</f>
        <v>11818610.560000001</v>
      </c>
      <c r="AG10" s="46">
        <f t="shared" si="10"/>
        <v>9994829.6699999999</v>
      </c>
      <c r="AH10" s="44">
        <f t="shared" si="4"/>
        <v>-176412389.44</v>
      </c>
      <c r="AI10" s="44">
        <f t="shared" si="5"/>
        <v>6.2787800946709105</v>
      </c>
      <c r="AJ10" s="46">
        <f t="shared" si="11"/>
        <v>-328440526.94999999</v>
      </c>
      <c r="AK10" s="44">
        <f t="shared" ref="AK10:AK63" si="19">AF10/AA10%</f>
        <v>3.4734145999687254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-20790442.439999998</v>
      </c>
      <c r="AO10" s="44">
        <f t="shared" si="13"/>
        <v>36.243341871964205</v>
      </c>
      <c r="AP10" s="46">
        <f t="shared" si="14"/>
        <v>-4936156.7564070318</v>
      </c>
      <c r="AQ10" s="44">
        <f t="shared" ref="AQ10:AQ19" si="20">AF10/Y10%</f>
        <v>70.538792552652623</v>
      </c>
      <c r="AR10" s="46">
        <f t="shared" ref="AR10:AR20" si="21">AF10-M10</f>
        <v>-47016839.535543218</v>
      </c>
      <c r="AS10" s="46">
        <f t="shared" ref="AS10:AS20" si="22">IF(M10=0,0,AF10/M10*100)</f>
        <v>20.087567173885287</v>
      </c>
      <c r="AT10" s="48" t="e">
        <f>#REF!</f>
        <v>#REF!</v>
      </c>
      <c r="AU10" s="86" t="s">
        <v>84</v>
      </c>
    </row>
    <row r="11" spans="1:47" s="10" customFormat="1" ht="61.5" hidden="1" customHeight="1" x14ac:dyDescent="0.3">
      <c r="A11" s="9"/>
      <c r="B11" s="118" t="s">
        <v>25</v>
      </c>
      <c r="C11" s="118"/>
      <c r="D11" s="118"/>
      <c r="E11" s="118"/>
      <c r="F11" s="118"/>
      <c r="G11" s="118"/>
      <c r="H11" s="118"/>
      <c r="I11" s="118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1784148.35</v>
      </c>
      <c r="W11" s="12"/>
      <c r="X11" s="12"/>
      <c r="Y11" s="12">
        <f t="shared" ref="Y11:Y16" si="23">V11</f>
        <v>1784148.35</v>
      </c>
      <c r="Z11" s="12">
        <v>28603900</v>
      </c>
      <c r="AA11" s="12">
        <v>32294200</v>
      </c>
      <c r="AB11" s="12">
        <v>5256360</v>
      </c>
      <c r="AC11" s="12">
        <v>0</v>
      </c>
      <c r="AD11" s="12">
        <v>2785575.98</v>
      </c>
      <c r="AE11" s="12">
        <v>14820.17</v>
      </c>
      <c r="AF11" s="12">
        <f t="shared" ref="AF11:AF62" si="24">AE11+AD11</f>
        <v>2800396.15</v>
      </c>
      <c r="AG11" s="12">
        <f t="shared" si="10"/>
        <v>2785575.98</v>
      </c>
      <c r="AH11" s="44">
        <f t="shared" si="4"/>
        <v>-25803503.850000001</v>
      </c>
      <c r="AI11" s="44">
        <f t="shared" si="5"/>
        <v>9.7902598946297541</v>
      </c>
      <c r="AJ11" s="12">
        <f t="shared" si="11"/>
        <v>-29493803.850000001</v>
      </c>
      <c r="AK11" s="44">
        <f t="shared" si="19"/>
        <v>8.6715142347542287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-2455963.85</v>
      </c>
      <c r="AO11" s="44">
        <f>AF11/AB11*100</f>
        <v>53.276338568895589</v>
      </c>
      <c r="AP11" s="12">
        <f t="shared" si="14"/>
        <v>1016247.7999999998</v>
      </c>
      <c r="AQ11" s="44">
        <f t="shared" si="20"/>
        <v>156.9598262386645</v>
      </c>
      <c r="AR11" s="12">
        <f t="shared" si="21"/>
        <v>-5093528.9600000009</v>
      </c>
      <c r="AS11" s="12">
        <f t="shared" si="22"/>
        <v>35.475332119029943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3358.39</v>
      </c>
      <c r="W12" s="12"/>
      <c r="X12" s="12"/>
      <c r="Y12" s="12">
        <f t="shared" si="23"/>
        <v>3358.39</v>
      </c>
      <c r="Z12" s="12">
        <v>11972000</v>
      </c>
      <c r="AA12" s="12">
        <v>27969000</v>
      </c>
      <c r="AB12" s="12">
        <v>6846</v>
      </c>
      <c r="AC12" s="12">
        <v>24563.46</v>
      </c>
      <c r="AD12" s="12">
        <v>137144.17000000001</v>
      </c>
      <c r="AE12" s="12">
        <v>91323.450000000012</v>
      </c>
      <c r="AF12" s="12">
        <f t="shared" si="24"/>
        <v>228467.62000000002</v>
      </c>
      <c r="AG12" s="12">
        <f t="shared" si="10"/>
        <v>112580.71000000002</v>
      </c>
      <c r="AH12" s="44">
        <f t="shared" si="4"/>
        <v>-11743532.380000001</v>
      </c>
      <c r="AI12" s="44">
        <f t="shared" si="5"/>
        <v>1.9083496491814234</v>
      </c>
      <c r="AJ12" s="12">
        <f t="shared" si="11"/>
        <v>-27740532.379999999</v>
      </c>
      <c r="AK12" s="44">
        <f t="shared" si="19"/>
        <v>0.81686016661303595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221621.62000000002</v>
      </c>
      <c r="AO12" s="44">
        <f t="shared" si="13"/>
        <v>3337.2424773590424</v>
      </c>
      <c r="AP12" s="12">
        <f t="shared" si="14"/>
        <v>225109.23</v>
      </c>
      <c r="AQ12" s="44">
        <f t="shared" si="20"/>
        <v>6802.8912663508418</v>
      </c>
      <c r="AR12" s="12">
        <f t="shared" si="21"/>
        <v>228467.62000000002</v>
      </c>
      <c r="AS12" s="12">
        <f t="shared" si="22"/>
        <v>0</v>
      </c>
      <c r="AT12" s="34">
        <f>AF12</f>
        <v>228467.62000000002</v>
      </c>
    </row>
    <row r="13" spans="1:47" s="10" customFormat="1" ht="70.5" hidden="1" customHeight="1" x14ac:dyDescent="0.3">
      <c r="A13" s="9"/>
      <c r="B13" s="118" t="s">
        <v>24</v>
      </c>
      <c r="C13" s="118"/>
      <c r="D13" s="118"/>
      <c r="E13" s="118"/>
      <c r="F13" s="118"/>
      <c r="G13" s="118"/>
      <c r="H13" s="118"/>
      <c r="I13" s="118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-427182.21</v>
      </c>
      <c r="W13" s="12"/>
      <c r="X13" s="12"/>
      <c r="Y13" s="12">
        <f t="shared" si="23"/>
        <v>-427182.21</v>
      </c>
      <c r="Z13" s="12">
        <v>8000</v>
      </c>
      <c r="AA13" s="12">
        <v>0</v>
      </c>
      <c r="AB13" s="12">
        <v>0</v>
      </c>
      <c r="AC13" s="12">
        <v>1261.04</v>
      </c>
      <c r="AD13" s="12">
        <v>20.13</v>
      </c>
      <c r="AE13" s="12">
        <v>1261.04</v>
      </c>
      <c r="AF13" s="12">
        <f t="shared" si="24"/>
        <v>1281.17</v>
      </c>
      <c r="AG13" s="12">
        <f t="shared" si="10"/>
        <v>-1240.9099999999999</v>
      </c>
      <c r="AH13" s="44">
        <f t="shared" si="4"/>
        <v>-6718.83</v>
      </c>
      <c r="AI13" s="44">
        <f t="shared" si="5"/>
        <v>16.014625000000002</v>
      </c>
      <c r="AJ13" s="12">
        <f t="shared" si="11"/>
        <v>1281.17</v>
      </c>
      <c r="AK13" s="44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1281.17</v>
      </c>
      <c r="AO13" s="44">
        <v>0</v>
      </c>
      <c r="AP13" s="12">
        <f t="shared" si="14"/>
        <v>428463.38</v>
      </c>
      <c r="AQ13" s="44">
        <f t="shared" si="20"/>
        <v>-0.29991183387529174</v>
      </c>
      <c r="AR13" s="12">
        <f t="shared" si="21"/>
        <v>-5413397.6900000004</v>
      </c>
      <c r="AS13" s="12">
        <f t="shared" si="22"/>
        <v>2.3661052356482689E-2</v>
      </c>
      <c r="AT13" s="34">
        <f>AF13</f>
        <v>1281.17</v>
      </c>
      <c r="AU13" s="86" t="s">
        <v>76</v>
      </c>
    </row>
    <row r="14" spans="1:47" s="10" customFormat="1" ht="42.75" hidden="1" customHeight="1" x14ac:dyDescent="0.3">
      <c r="A14" s="9"/>
      <c r="B14" s="118" t="s">
        <v>23</v>
      </c>
      <c r="C14" s="118"/>
      <c r="D14" s="118"/>
      <c r="E14" s="118"/>
      <c r="F14" s="118"/>
      <c r="G14" s="118"/>
      <c r="H14" s="118"/>
      <c r="I14" s="118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399471.8</v>
      </c>
      <c r="W14" s="12"/>
      <c r="X14" s="12"/>
      <c r="Y14" s="12">
        <f t="shared" si="23"/>
        <v>399471.8</v>
      </c>
      <c r="Z14" s="12">
        <v>5814000</v>
      </c>
      <c r="AA14" s="12">
        <v>7692000</v>
      </c>
      <c r="AB14" s="12">
        <v>516133</v>
      </c>
      <c r="AC14" s="12">
        <v>5000</v>
      </c>
      <c r="AD14" s="12">
        <v>0</v>
      </c>
      <c r="AE14" s="12">
        <v>13403</v>
      </c>
      <c r="AF14" s="12">
        <f t="shared" si="24"/>
        <v>13403</v>
      </c>
      <c r="AG14" s="12">
        <f t="shared" si="10"/>
        <v>-5000</v>
      </c>
      <c r="AH14" s="44">
        <f t="shared" si="4"/>
        <v>-5800597</v>
      </c>
      <c r="AI14" s="44">
        <f t="shared" si="5"/>
        <v>0.23052975576195392</v>
      </c>
      <c r="AJ14" s="12">
        <f t="shared" si="11"/>
        <v>-7678597</v>
      </c>
      <c r="AK14" s="44">
        <f t="shared" si="19"/>
        <v>0.17424596983879356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-502730</v>
      </c>
      <c r="AO14" s="44">
        <f t="shared" si="13"/>
        <v>2.5968112870132312</v>
      </c>
      <c r="AP14" s="12">
        <f t="shared" si="14"/>
        <v>-386068.8</v>
      </c>
      <c r="AQ14" s="44">
        <f t="shared" si="20"/>
        <v>3.3551805158712082</v>
      </c>
      <c r="AR14" s="12">
        <f t="shared" si="21"/>
        <v>-3553674.86</v>
      </c>
      <c r="AS14" s="12">
        <f t="shared" si="22"/>
        <v>0.37574172827278851</v>
      </c>
      <c r="AT14" s="34">
        <f>AF14</f>
        <v>13403</v>
      </c>
      <c r="AU14" s="86"/>
    </row>
    <row r="15" spans="1:47" s="10" customFormat="1" ht="99" hidden="1" customHeight="1" x14ac:dyDescent="0.3">
      <c r="A15" s="9"/>
      <c r="B15" s="118" t="s">
        <v>22</v>
      </c>
      <c r="C15" s="118"/>
      <c r="D15" s="118"/>
      <c r="E15" s="118"/>
      <c r="F15" s="118"/>
      <c r="G15" s="118"/>
      <c r="H15" s="118"/>
      <c r="I15" s="118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-244563.62</v>
      </c>
      <c r="W15" s="12"/>
      <c r="X15" s="12"/>
      <c r="Y15" s="12">
        <f t="shared" si="23"/>
        <v>-244563.62</v>
      </c>
      <c r="Z15" s="12">
        <v>8168000</v>
      </c>
      <c r="AA15" s="12">
        <v>6694000</v>
      </c>
      <c r="AB15" s="12">
        <v>15776</v>
      </c>
      <c r="AC15" s="12">
        <v>1091261.72</v>
      </c>
      <c r="AD15" s="12">
        <v>111895.84</v>
      </c>
      <c r="AE15" s="12">
        <v>3548036.2</v>
      </c>
      <c r="AF15" s="12">
        <f t="shared" si="24"/>
        <v>3659932.04</v>
      </c>
      <c r="AG15" s="12">
        <f t="shared" si="10"/>
        <v>-979365.88</v>
      </c>
      <c r="AH15" s="44">
        <f t="shared" si="4"/>
        <v>-4508067.96</v>
      </c>
      <c r="AI15" s="44">
        <f t="shared" si="5"/>
        <v>44.80817874632713</v>
      </c>
      <c r="AJ15" s="12">
        <f t="shared" si="11"/>
        <v>-3034067.96</v>
      </c>
      <c r="AK15" s="44">
        <f t="shared" si="19"/>
        <v>54.674813863161042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3644156.04</v>
      </c>
      <c r="AO15" s="44">
        <f t="shared" si="13"/>
        <v>23199.366379310344</v>
      </c>
      <c r="AP15" s="12">
        <f t="shared" si="14"/>
        <v>3904495.66</v>
      </c>
      <c r="AQ15" s="44">
        <f t="shared" si="20"/>
        <v>-1496.5153198173957</v>
      </c>
      <c r="AR15" s="12">
        <f t="shared" si="21"/>
        <v>3518107.68</v>
      </c>
      <c r="AS15" s="12">
        <f t="shared" si="22"/>
        <v>2580.6088883461207</v>
      </c>
      <c r="AT15" s="34">
        <f>AF15</f>
        <v>3659932.04</v>
      </c>
      <c r="AU15" s="86" t="s">
        <v>81</v>
      </c>
    </row>
    <row r="16" spans="1:47" s="10" customFormat="1" ht="65.25" hidden="1" customHeight="1" x14ac:dyDescent="0.3">
      <c r="A16" s="9"/>
      <c r="B16" s="118" t="s">
        <v>21</v>
      </c>
      <c r="C16" s="118"/>
      <c r="D16" s="118"/>
      <c r="E16" s="118"/>
      <c r="F16" s="118"/>
      <c r="G16" s="118"/>
      <c r="H16" s="118"/>
      <c r="I16" s="118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-324684.95</v>
      </c>
      <c r="W16" s="12"/>
      <c r="X16" s="12"/>
      <c r="Y16" s="12">
        <f t="shared" si="23"/>
        <v>-324684.95</v>
      </c>
      <c r="Z16" s="12">
        <v>15443000</v>
      </c>
      <c r="AA16" s="12">
        <v>14460000</v>
      </c>
      <c r="AB16" s="12">
        <v>278400</v>
      </c>
      <c r="AC16" s="12">
        <v>155762.35999999999</v>
      </c>
      <c r="AD16" s="12">
        <v>234641.17</v>
      </c>
      <c r="AE16" s="12">
        <v>337873.61</v>
      </c>
      <c r="AF16" s="12">
        <f t="shared" si="24"/>
        <v>572514.78</v>
      </c>
      <c r="AG16" s="12">
        <f t="shared" si="10"/>
        <v>78878.810000000027</v>
      </c>
      <c r="AH16" s="44">
        <f t="shared" si="4"/>
        <v>-14870485.220000001</v>
      </c>
      <c r="AI16" s="44">
        <f t="shared" si="5"/>
        <v>3.7072769539597235</v>
      </c>
      <c r="AJ16" s="12">
        <f t="shared" si="11"/>
        <v>-13887485.220000001</v>
      </c>
      <c r="AK16" s="44">
        <f t="shared" si="19"/>
        <v>3.9593000000000003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294114.78000000003</v>
      </c>
      <c r="AO16" s="44">
        <f t="shared" si="13"/>
        <v>205.64467672413795</v>
      </c>
      <c r="AP16" s="12">
        <f t="shared" si="14"/>
        <v>897199.73</v>
      </c>
      <c r="AQ16" s="44">
        <f t="shared" si="20"/>
        <v>-176.32932478083754</v>
      </c>
      <c r="AR16" s="12">
        <f t="shared" si="21"/>
        <v>-588164.10999999987</v>
      </c>
      <c r="AS16" s="12">
        <f t="shared" si="22"/>
        <v>49.325854457471877</v>
      </c>
      <c r="AT16" s="34">
        <v>11117000</v>
      </c>
      <c r="AU16" s="86" t="s">
        <v>77</v>
      </c>
    </row>
    <row r="17" spans="1:47" s="10" customFormat="1" ht="24" hidden="1" customHeight="1" x14ac:dyDescent="0.3">
      <c r="A17" s="9"/>
      <c r="B17" s="118" t="s">
        <v>19</v>
      </c>
      <c r="C17" s="118"/>
      <c r="D17" s="118"/>
      <c r="E17" s="118"/>
      <c r="F17" s="118"/>
      <c r="G17" s="118"/>
      <c r="H17" s="118"/>
      <c r="I17" s="118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-1564025.51</v>
      </c>
      <c r="W17" s="12"/>
      <c r="X17" s="12">
        <f t="shared" si="33"/>
        <v>0</v>
      </c>
      <c r="Y17" s="12">
        <f>Y18+Y19</f>
        <v>-1564025.51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225169</v>
      </c>
      <c r="AC17" s="12">
        <f t="shared" si="34"/>
        <v>673926.15999999992</v>
      </c>
      <c r="AD17" s="12">
        <f t="shared" ref="AD17" si="35">AD18+AD19</f>
        <v>423993.94999999995</v>
      </c>
      <c r="AE17" s="12">
        <v>928216.15999999992</v>
      </c>
      <c r="AF17" s="12">
        <f t="shared" si="32"/>
        <v>1352210.1099999999</v>
      </c>
      <c r="AG17" s="12">
        <f t="shared" si="10"/>
        <v>-249932.20999999996</v>
      </c>
      <c r="AH17" s="44">
        <f t="shared" si="4"/>
        <v>-56136789.890000001</v>
      </c>
      <c r="AI17" s="44">
        <f t="shared" si="5"/>
        <v>2.3521197272521697</v>
      </c>
      <c r="AJ17" s="12">
        <f t="shared" si="11"/>
        <v>-55426789.890000001</v>
      </c>
      <c r="AK17" s="44">
        <f t="shared" si="19"/>
        <v>2.3815320981348735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1127041.1099999999</v>
      </c>
      <c r="AO17" s="44">
        <f t="shared" si="13"/>
        <v>600.53120545012848</v>
      </c>
      <c r="AP17" s="12">
        <f t="shared" si="14"/>
        <v>2916235.62</v>
      </c>
      <c r="AQ17" s="44">
        <f t="shared" si="20"/>
        <v>-86.457036752552696</v>
      </c>
      <c r="AR17" s="12">
        <f t="shared" si="21"/>
        <v>-12299058.640000001</v>
      </c>
      <c r="AS17" s="12">
        <f t="shared" si="22"/>
        <v>9.9053804797447853</v>
      </c>
      <c r="AT17" s="34">
        <f>AT18+AT19</f>
        <v>1352210.1099999999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v>15995.58</v>
      </c>
      <c r="W18" s="53"/>
      <c r="X18" s="53"/>
      <c r="Y18" s="13">
        <f>V18</f>
        <v>15995.58</v>
      </c>
      <c r="Z18" s="66">
        <v>23363753.050000001</v>
      </c>
      <c r="AA18" s="66">
        <v>22995495</v>
      </c>
      <c r="AB18" s="16">
        <v>35982</v>
      </c>
      <c r="AC18" s="13">
        <v>381609.25</v>
      </c>
      <c r="AD18" s="13">
        <v>134908.53</v>
      </c>
      <c r="AE18" s="13">
        <v>380962.04</v>
      </c>
      <c r="AF18" s="13">
        <f t="shared" si="24"/>
        <v>515870.56999999995</v>
      </c>
      <c r="AG18" s="13">
        <f t="shared" si="10"/>
        <v>-246700.72</v>
      </c>
      <c r="AH18" s="44">
        <f t="shared" si="4"/>
        <v>-22847882.48</v>
      </c>
      <c r="AI18" s="44">
        <f t="shared" si="5"/>
        <v>2.2079953032203443</v>
      </c>
      <c r="AJ18" s="13">
        <f t="shared" si="11"/>
        <v>-22479624.43</v>
      </c>
      <c r="AK18" s="44">
        <f t="shared" si="19"/>
        <v>2.2433549266932498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479888.56999999995</v>
      </c>
      <c r="AO18" s="44">
        <f t="shared" si="13"/>
        <v>1433.6906508809959</v>
      </c>
      <c r="AP18" s="13">
        <f t="shared" si="14"/>
        <v>499874.98999999993</v>
      </c>
      <c r="AQ18" s="44">
        <f t="shared" si="20"/>
        <v>3225.0819914001236</v>
      </c>
      <c r="AR18" s="13">
        <f t="shared" si="21"/>
        <v>-9569745.9399999995</v>
      </c>
      <c r="AS18" s="13">
        <f t="shared" si="22"/>
        <v>5.1149135949052651</v>
      </c>
      <c r="AT18" s="31">
        <f>AF18</f>
        <v>515870.56999999995</v>
      </c>
      <c r="AU18" s="86" t="s">
        <v>85</v>
      </c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-1580021.09</v>
      </c>
      <c r="W19" s="53"/>
      <c r="X19" s="53"/>
      <c r="Y19" s="13">
        <f>V19</f>
        <v>-1580021.09</v>
      </c>
      <c r="Z19" s="66">
        <v>34125246.950000003</v>
      </c>
      <c r="AA19" s="66">
        <v>33783505</v>
      </c>
      <c r="AB19" s="16">
        <v>189187</v>
      </c>
      <c r="AC19" s="13">
        <v>292316.90999999997</v>
      </c>
      <c r="AD19" s="13">
        <v>289085.42</v>
      </c>
      <c r="AE19" s="13">
        <v>547254.12</v>
      </c>
      <c r="AF19" s="13">
        <f t="shared" si="24"/>
        <v>836339.54</v>
      </c>
      <c r="AG19" s="13">
        <f t="shared" si="10"/>
        <v>-3231.4899999999907</v>
      </c>
      <c r="AH19" s="44">
        <f t="shared" si="4"/>
        <v>-33288907.410000004</v>
      </c>
      <c r="AI19" s="44">
        <f t="shared" si="5"/>
        <v>2.4507941033376168</v>
      </c>
      <c r="AJ19" s="13">
        <f t="shared" si="11"/>
        <v>-32947165.460000001</v>
      </c>
      <c r="AK19" s="44">
        <f t="shared" si="19"/>
        <v>2.4755854669312733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647152.54</v>
      </c>
      <c r="AO19" s="44">
        <f t="shared" si="13"/>
        <v>442.07030081348091</v>
      </c>
      <c r="AP19" s="13">
        <f t="shared" si="14"/>
        <v>2416360.63</v>
      </c>
      <c r="AQ19" s="44">
        <f t="shared" si="20"/>
        <v>-52.932175734439092</v>
      </c>
      <c r="AR19" s="13">
        <f t="shared" si="21"/>
        <v>-2729312.7</v>
      </c>
      <c r="AS19" s="13">
        <f t="shared" si="22"/>
        <v>23.455443316031293</v>
      </c>
      <c r="AT19" s="31">
        <f>AF19</f>
        <v>836339.54</v>
      </c>
      <c r="AU19" s="86" t="s">
        <v>77</v>
      </c>
    </row>
    <row r="20" spans="1:47" s="10" customFormat="1" ht="30.75" hidden="1" customHeight="1" x14ac:dyDescent="0.3">
      <c r="A20" s="9"/>
      <c r="B20" s="118" t="s">
        <v>18</v>
      </c>
      <c r="C20" s="118"/>
      <c r="D20" s="118"/>
      <c r="E20" s="118"/>
      <c r="F20" s="118"/>
      <c r="G20" s="118"/>
      <c r="H20" s="118"/>
      <c r="I20" s="118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366886.45</v>
      </c>
      <c r="W20" s="12"/>
      <c r="X20" s="12"/>
      <c r="Y20" s="12">
        <f>V20</f>
        <v>366886.45</v>
      </c>
      <c r="Z20" s="12">
        <v>7706000</v>
      </c>
      <c r="AA20" s="12">
        <v>7743000</v>
      </c>
      <c r="AB20" s="12">
        <v>836244</v>
      </c>
      <c r="AC20" s="12">
        <v>38172.660000000003</v>
      </c>
      <c r="AD20" s="12">
        <f>96138.55+21960.38</f>
        <v>118098.93000000001</v>
      </c>
      <c r="AE20" s="12">
        <v>142685.48000000001</v>
      </c>
      <c r="AF20" s="12">
        <f t="shared" si="24"/>
        <v>260784.41000000003</v>
      </c>
      <c r="AG20" s="12">
        <f t="shared" si="10"/>
        <v>79926.27</v>
      </c>
      <c r="AH20" s="44">
        <f t="shared" si="4"/>
        <v>-7445215.5899999999</v>
      </c>
      <c r="AI20" s="44">
        <f t="shared" si="5"/>
        <v>3.3841735011679219</v>
      </c>
      <c r="AJ20" s="12">
        <f t="shared" si="11"/>
        <v>-7482215.5899999999</v>
      </c>
      <c r="AK20" s="44">
        <f t="shared" si="19"/>
        <v>3.3680021955314481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-575459.59</v>
      </c>
      <c r="AO20" s="44">
        <f t="shared" si="13"/>
        <v>31.185205514180076</v>
      </c>
      <c r="AP20" s="12">
        <f t="shared" si="14"/>
        <v>-106102.03999999998</v>
      </c>
      <c r="AQ20" s="44">
        <f t="shared" ref="AQ20:AQ63" si="36">AF20/Y20%</f>
        <v>71.080414662356716</v>
      </c>
      <c r="AR20" s="12">
        <f t="shared" si="21"/>
        <v>-2813235.05</v>
      </c>
      <c r="AS20" s="12">
        <f t="shared" si="22"/>
        <v>8.4834989951560047</v>
      </c>
      <c r="AT20" s="34">
        <f>AF20</f>
        <v>260784.41000000003</v>
      </c>
      <c r="AU20" s="86" t="s">
        <v>71</v>
      </c>
    </row>
    <row r="21" spans="1:47" s="10" customFormat="1" ht="62.25" hidden="1" customHeight="1" x14ac:dyDescent="0.3">
      <c r="A21" s="9"/>
      <c r="B21" s="119" t="s">
        <v>58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20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4541762.2799999993</v>
      </c>
      <c r="W22" s="71"/>
      <c r="X22" s="71">
        <f t="shared" ref="X22:AC22" si="38">X23+X36+X37+X45+X48+X50</f>
        <v>0</v>
      </c>
      <c r="Y22" s="71">
        <f t="shared" si="38"/>
        <v>4541762.2799999993</v>
      </c>
      <c r="Z22" s="71">
        <f t="shared" si="38"/>
        <v>76980199.650000006</v>
      </c>
      <c r="AA22" s="71">
        <f t="shared" si="38"/>
        <v>83709117.450000003</v>
      </c>
      <c r="AB22" s="71">
        <f t="shared" si="38"/>
        <v>5157783.79</v>
      </c>
      <c r="AC22" s="71">
        <f t="shared" si="38"/>
        <v>468175.85</v>
      </c>
      <c r="AD22" s="71">
        <f t="shared" ref="AD22" si="39">AD23+AD36+AD37+AD45+AD48+AD50</f>
        <v>1674147.15</v>
      </c>
      <c r="AE22" s="71">
        <v>640769.30000000005</v>
      </c>
      <c r="AF22" s="71">
        <f>AF23+AF36+AF37+AF45+AF48+AF50</f>
        <v>2314916.4499999997</v>
      </c>
      <c r="AG22" s="71">
        <f t="shared" ref="AG22" si="40">AD22-AC22</f>
        <v>1205971.2999999998</v>
      </c>
      <c r="AH22" s="72">
        <f t="shared" si="4"/>
        <v>-74665283.200000003</v>
      </c>
      <c r="AI22" s="72">
        <f t="shared" ref="AI22" si="41">AF22/Z22*100</f>
        <v>3.0071582829416568</v>
      </c>
      <c r="AJ22" s="71">
        <f t="shared" si="11"/>
        <v>-81394201</v>
      </c>
      <c r="AK22" s="72">
        <f t="shared" ref="AK22" si="42">AF22/AA22%</f>
        <v>2.7654292871773665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-2842867.3400000003</v>
      </c>
      <c r="AO22" s="72">
        <f t="shared" ref="AO22" si="43">AF22/AB22*100</f>
        <v>44.881998630656049</v>
      </c>
      <c r="AP22" s="71">
        <f t="shared" si="14"/>
        <v>-2226845.8299999996</v>
      </c>
      <c r="AQ22" s="72">
        <f t="shared" ref="AQ22" si="44">AF22/Y22%</f>
        <v>50.96956439560725</v>
      </c>
      <c r="AR22" s="12"/>
      <c r="AS22" s="12"/>
      <c r="AT22" s="34"/>
    </row>
    <row r="23" spans="1:47" s="10" customFormat="1" ht="83.25" hidden="1" customHeight="1" x14ac:dyDescent="0.3">
      <c r="A23" s="9"/>
      <c r="B23" s="118" t="s">
        <v>17</v>
      </c>
      <c r="C23" s="118"/>
      <c r="D23" s="118"/>
      <c r="E23" s="118"/>
      <c r="F23" s="118"/>
      <c r="G23" s="118"/>
      <c r="H23" s="118"/>
      <c r="I23" s="118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1113149.2299999997</v>
      </c>
      <c r="W23" s="12"/>
      <c r="X23" s="12">
        <f t="shared" si="47"/>
        <v>0</v>
      </c>
      <c r="Y23" s="12">
        <f>Y24+Y27+Y29+Y31</f>
        <v>1113149.2299999997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227712.49000000002</v>
      </c>
      <c r="AC23" s="12">
        <f>AC24+AC27+AC29+AC31</f>
        <v>85462.78</v>
      </c>
      <c r="AD23" s="12">
        <f>AD24+AD27+AD29+AD31</f>
        <v>353712.94</v>
      </c>
      <c r="AE23" s="12">
        <v>250649.78000000003</v>
      </c>
      <c r="AF23" s="12">
        <f t="shared" si="45"/>
        <v>604362.72</v>
      </c>
      <c r="AG23" s="12">
        <f t="shared" si="10"/>
        <v>268250.16000000003</v>
      </c>
      <c r="AH23" s="44">
        <f t="shared" si="4"/>
        <v>-46424637.280000001</v>
      </c>
      <c r="AI23" s="44">
        <f t="shared" si="5"/>
        <v>1.285085202747241</v>
      </c>
      <c r="AJ23" s="12">
        <f t="shared" si="11"/>
        <v>-48929827.280000001</v>
      </c>
      <c r="AK23" s="44">
        <f t="shared" si="19"/>
        <v>1.2200920616648823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376650.23</v>
      </c>
      <c r="AO23" s="44">
        <f t="shared" si="13"/>
        <v>265.40604777542063</v>
      </c>
      <c r="AP23" s="12">
        <f t="shared" si="14"/>
        <v>-508786.50999999978</v>
      </c>
      <c r="AQ23" s="44">
        <f t="shared" si="36"/>
        <v>54.293054669767869</v>
      </c>
      <c r="AR23" s="12">
        <f>AF23-M23</f>
        <v>-9634103.2699999977</v>
      </c>
      <c r="AS23" s="12">
        <f>IF(M23=0,0,AF23/M23*100)</f>
        <v>5.9028639699568908</v>
      </c>
      <c r="AT23" s="34">
        <f>AT24+AT27+AT29+AT31</f>
        <v>571481.72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72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1004347.1599999999</v>
      </c>
      <c r="W24" s="13"/>
      <c r="X24" s="13">
        <f t="shared" si="49"/>
        <v>0</v>
      </c>
      <c r="Y24" s="12">
        <f t="shared" si="49"/>
        <v>1004347.1599999999</v>
      </c>
      <c r="Z24" s="12">
        <f t="shared" si="49"/>
        <v>46880510</v>
      </c>
      <c r="AA24" s="12">
        <f>AA25+AA26</f>
        <v>48200367.740000002</v>
      </c>
      <c r="AB24" s="12">
        <f>AB25+AB26</f>
        <v>0</v>
      </c>
      <c r="AC24" s="12">
        <f>AC25+AC26</f>
        <v>45000.81</v>
      </c>
      <c r="AD24" s="12">
        <f>AD25+AD26</f>
        <v>254138.66</v>
      </c>
      <c r="AE24" s="12">
        <v>179451.81000000003</v>
      </c>
      <c r="AF24" s="12">
        <f t="shared" ref="AF24" si="50">AF25+AF26</f>
        <v>433590.47000000003</v>
      </c>
      <c r="AG24" s="12">
        <f>AD24-AC24</f>
        <v>209137.85</v>
      </c>
      <c r="AH24" s="44">
        <f t="shared" si="4"/>
        <v>-46446919.530000001</v>
      </c>
      <c r="AI24" s="44">
        <f t="shared" si="5"/>
        <v>0.92488428560184177</v>
      </c>
      <c r="AJ24" s="12">
        <f t="shared" si="11"/>
        <v>-47766777.270000003</v>
      </c>
      <c r="AK24" s="44">
        <f t="shared" si="19"/>
        <v>0.8995584273108701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433590.47000000003</v>
      </c>
      <c r="AO24" s="44">
        <v>0</v>
      </c>
      <c r="AP24" s="12">
        <f t="shared" si="14"/>
        <v>-570756.68999999994</v>
      </c>
      <c r="AQ24" s="44">
        <f t="shared" si="36"/>
        <v>43.171374129240341</v>
      </c>
      <c r="AR24" s="12">
        <f>AF24-M24</f>
        <v>-9434554.1399999987</v>
      </c>
      <c r="AS24" s="12">
        <f>IF(M24=0,0,AF24/M24*100)</f>
        <v>4.3938398466578619</v>
      </c>
      <c r="AT24" s="31">
        <f>AF24</f>
        <v>433590.47000000003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73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263646.21999999997</v>
      </c>
      <c r="W25" s="13"/>
      <c r="X25" s="13"/>
      <c r="Y25" s="13">
        <f>V25</f>
        <v>263646.21999999997</v>
      </c>
      <c r="Z25" s="13">
        <v>34696660</v>
      </c>
      <c r="AA25" s="13">
        <v>36508280</v>
      </c>
      <c r="AB25" s="13">
        <v>0</v>
      </c>
      <c r="AC25" s="13">
        <v>37612.58</v>
      </c>
      <c r="AD25" s="13">
        <v>25000</v>
      </c>
      <c r="AE25" s="13">
        <v>172063.58000000002</v>
      </c>
      <c r="AF25" s="13">
        <f t="shared" si="24"/>
        <v>197063.58000000002</v>
      </c>
      <c r="AG25" s="13">
        <f>AD25-AC25</f>
        <v>-12612.580000000002</v>
      </c>
      <c r="AH25" s="44">
        <f t="shared" si="4"/>
        <v>-34499596.420000002</v>
      </c>
      <c r="AI25" s="44">
        <f t="shared" si="5"/>
        <v>0.56796123892040329</v>
      </c>
      <c r="AJ25" s="13">
        <f t="shared" si="11"/>
        <v>-36311216.420000002</v>
      </c>
      <c r="AK25" s="42">
        <f t="shared" si="19"/>
        <v>0.53977777096045065</v>
      </c>
      <c r="AL25" s="13"/>
      <c r="AM25" s="13"/>
      <c r="AN25" s="42">
        <f t="shared" si="12"/>
        <v>197063.58000000002</v>
      </c>
      <c r="AO25" s="42">
        <v>0</v>
      </c>
      <c r="AP25" s="13">
        <f t="shared" si="14"/>
        <v>-66582.639999999956</v>
      </c>
      <c r="AQ25" s="42">
        <f t="shared" si="36"/>
        <v>74.745460033525234</v>
      </c>
      <c r="AR25" s="12"/>
      <c r="AS25" s="12"/>
      <c r="AT25" s="31"/>
    </row>
    <row r="26" spans="1:47" s="5" customFormat="1" ht="67.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93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v>740700.94</v>
      </c>
      <c r="W26" s="16"/>
      <c r="X26" s="16"/>
      <c r="Y26" s="13">
        <f>V26</f>
        <v>740700.94</v>
      </c>
      <c r="Z26" s="13">
        <v>12183850</v>
      </c>
      <c r="AA26" s="13">
        <f>6966987.74+4725100</f>
        <v>11692087.74</v>
      </c>
      <c r="AB26" s="13">
        <v>0</v>
      </c>
      <c r="AC26" s="13">
        <v>7388.23</v>
      </c>
      <c r="AD26" s="13">
        <v>229138.66</v>
      </c>
      <c r="AE26" s="13">
        <v>7388.23</v>
      </c>
      <c r="AF26" s="13">
        <f t="shared" si="24"/>
        <v>236526.89</v>
      </c>
      <c r="AG26" s="13">
        <f>AD26-AC26</f>
        <v>221750.43</v>
      </c>
      <c r="AH26" s="44">
        <f t="shared" si="4"/>
        <v>-11947323.109999999</v>
      </c>
      <c r="AI26" s="44">
        <f t="shared" si="5"/>
        <v>1.9413148553207731</v>
      </c>
      <c r="AJ26" s="12">
        <f t="shared" si="11"/>
        <v>-11455560.85</v>
      </c>
      <c r="AK26" s="42">
        <f t="shared" si="19"/>
        <v>2.0229654041237977</v>
      </c>
      <c r="AL26" s="13"/>
      <c r="AM26" s="13"/>
      <c r="AN26" s="42">
        <f t="shared" si="12"/>
        <v>236526.89</v>
      </c>
      <c r="AO26" s="42">
        <v>0</v>
      </c>
      <c r="AP26" s="13">
        <f t="shared" si="14"/>
        <v>-504174.04999999993</v>
      </c>
      <c r="AQ26" s="42">
        <f t="shared" si="36"/>
        <v>31.932845933744872</v>
      </c>
      <c r="AR26" s="12"/>
      <c r="AS26" s="12"/>
      <c r="AT26" s="31"/>
      <c r="AU26" s="108" t="s">
        <v>80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74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88256.67</v>
      </c>
      <c r="W27" s="13"/>
      <c r="X27" s="13"/>
      <c r="Y27" s="12">
        <f t="shared" si="52"/>
        <v>88256.67</v>
      </c>
      <c r="Z27" s="12">
        <f t="shared" si="52"/>
        <v>100490</v>
      </c>
      <c r="AA27" s="12">
        <f t="shared" si="52"/>
        <v>549832.26</v>
      </c>
      <c r="AB27" s="12">
        <f t="shared" si="52"/>
        <v>165254.17000000001</v>
      </c>
      <c r="AC27" s="12">
        <f>AC28</f>
        <v>40461.97</v>
      </c>
      <c r="AD27" s="12">
        <f>AD28</f>
        <v>85074.28</v>
      </c>
      <c r="AE27" s="12">
        <v>52816.97</v>
      </c>
      <c r="AF27" s="12">
        <f t="shared" ref="AF27" si="53">AF28</f>
        <v>137891.25</v>
      </c>
      <c r="AG27" s="12">
        <f t="shared" si="10"/>
        <v>44612.31</v>
      </c>
      <c r="AH27" s="44">
        <f t="shared" si="4"/>
        <v>37401.25</v>
      </c>
      <c r="AI27" s="44">
        <f t="shared" si="5"/>
        <v>137.21887750024877</v>
      </c>
      <c r="AJ27" s="12">
        <f t="shared" si="11"/>
        <v>-411941.01</v>
      </c>
      <c r="AK27" s="44">
        <f t="shared" si="19"/>
        <v>25.07878493706426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-27362.920000000013</v>
      </c>
      <c r="AO27" s="44">
        <f t="shared" si="13"/>
        <v>83.441918591222233</v>
      </c>
      <c r="AP27" s="12">
        <f t="shared" si="14"/>
        <v>49634.58</v>
      </c>
      <c r="AQ27" s="44">
        <f t="shared" si="36"/>
        <v>156.2388995641916</v>
      </c>
      <c r="AR27" s="12">
        <f>AF27-M27</f>
        <v>-195834.59000000003</v>
      </c>
      <c r="AS27" s="12">
        <f>IF(M27=0,0,AF27/M27*100)</f>
        <v>41.318721379201563</v>
      </c>
      <c r="AT27" s="31">
        <f>AF27</f>
        <v>137891.25</v>
      </c>
    </row>
    <row r="28" spans="1:47" s="5" customFormat="1" ht="93.7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94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v>88256.67</v>
      </c>
      <c r="W28" s="16"/>
      <c r="X28" s="16"/>
      <c r="Y28" s="16">
        <f>V28</f>
        <v>88256.67</v>
      </c>
      <c r="Z28" s="16">
        <v>100490</v>
      </c>
      <c r="AA28" s="16">
        <f>109952.06+439880.2</f>
        <v>549832.26</v>
      </c>
      <c r="AB28" s="16">
        <f>45757.79+119496.38</f>
        <v>165254.17000000001</v>
      </c>
      <c r="AC28" s="13">
        <v>40461.97</v>
      </c>
      <c r="AD28" s="13">
        <f>73207.61+11866.67</f>
        <v>85074.28</v>
      </c>
      <c r="AE28" s="13">
        <v>52816.97</v>
      </c>
      <c r="AF28" s="13">
        <f t="shared" si="24"/>
        <v>137891.25</v>
      </c>
      <c r="AG28" s="13">
        <f>AD28-AC28</f>
        <v>44612.31</v>
      </c>
      <c r="AH28" s="44">
        <f t="shared" si="4"/>
        <v>37401.25</v>
      </c>
      <c r="AI28" s="44">
        <f t="shared" si="5"/>
        <v>137.21887750024877</v>
      </c>
      <c r="AJ28" s="13">
        <f t="shared" si="11"/>
        <v>-411941.01</v>
      </c>
      <c r="AK28" s="42">
        <f t="shared" si="19"/>
        <v>25.07878493706426</v>
      </c>
      <c r="AL28" s="16"/>
      <c r="AM28" s="16"/>
      <c r="AN28" s="42">
        <f t="shared" si="12"/>
        <v>-27362.920000000013</v>
      </c>
      <c r="AO28" s="42">
        <f t="shared" si="13"/>
        <v>83.441918591222233</v>
      </c>
      <c r="AP28" s="13">
        <f t="shared" si="14"/>
        <v>49634.58</v>
      </c>
      <c r="AQ28" s="42">
        <f t="shared" si="36"/>
        <v>156.2388995641916</v>
      </c>
      <c r="AR28" s="12"/>
      <c r="AS28" s="12"/>
      <c r="AT28" s="31"/>
      <c r="AU28" s="102" t="s">
        <v>78</v>
      </c>
    </row>
    <row r="29" spans="1:47" s="10" customFormat="1" ht="48" hidden="1" customHeight="1" x14ac:dyDescent="0.3">
      <c r="A29" s="9"/>
      <c r="B29" s="121" t="s">
        <v>16</v>
      </c>
      <c r="C29" s="121"/>
      <c r="D29" s="121"/>
      <c r="E29" s="121"/>
      <c r="F29" s="121"/>
      <c r="G29" s="121"/>
      <c r="H29" s="121"/>
      <c r="I29" s="121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0</v>
      </c>
      <c r="W29" s="12"/>
      <c r="X29" s="12">
        <f t="shared" si="55"/>
        <v>0</v>
      </c>
      <c r="Y29" s="12">
        <f>Y30</f>
        <v>0</v>
      </c>
      <c r="Z29" s="12">
        <f t="shared" si="54"/>
        <v>0</v>
      </c>
      <c r="AA29" s="12">
        <f t="shared" si="54"/>
        <v>60000</v>
      </c>
      <c r="AB29" s="12">
        <f t="shared" si="54"/>
        <v>0</v>
      </c>
      <c r="AC29" s="12">
        <f>AC30</f>
        <v>0</v>
      </c>
      <c r="AD29" s="12">
        <f>AD30</f>
        <v>0</v>
      </c>
      <c r="AE29" s="12">
        <v>0</v>
      </c>
      <c r="AF29" s="12">
        <f>AF30</f>
        <v>0</v>
      </c>
      <c r="AG29" s="12">
        <f t="shared" si="10"/>
        <v>0</v>
      </c>
      <c r="AH29" s="44">
        <f t="shared" si="4"/>
        <v>0</v>
      </c>
      <c r="AI29" s="44">
        <v>0</v>
      </c>
      <c r="AJ29" s="12">
        <f t="shared" si="11"/>
        <v>-60000</v>
      </c>
      <c r="AK29" s="44">
        <f t="shared" si="19"/>
        <v>0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0</v>
      </c>
      <c r="AO29" s="44">
        <v>0</v>
      </c>
      <c r="AP29" s="12">
        <f t="shared" si="14"/>
        <v>0</v>
      </c>
      <c r="AQ29" s="44">
        <v>0</v>
      </c>
      <c r="AR29" s="12">
        <f t="shared" ref="AR29:AR38" si="56">AF29-M29</f>
        <v>-13500</v>
      </c>
      <c r="AS29" s="12">
        <f t="shared" ref="AS29:AS38" si="57">IF(M29=0,0,AF29/M29*100)</f>
        <v>0</v>
      </c>
      <c r="AT29" s="34">
        <f t="shared" ref="AT29" si="58">AT30</f>
        <v>0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0</v>
      </c>
      <c r="W30" s="13"/>
      <c r="X30" s="13"/>
      <c r="Y30" s="13">
        <f>V30</f>
        <v>0</v>
      </c>
      <c r="Z30" s="13">
        <v>0</v>
      </c>
      <c r="AA30" s="13">
        <v>60000</v>
      </c>
      <c r="AB30" s="13">
        <v>0</v>
      </c>
      <c r="AC30" s="13">
        <v>0</v>
      </c>
      <c r="AD30" s="13">
        <v>0</v>
      </c>
      <c r="AE30" s="13">
        <v>0</v>
      </c>
      <c r="AF30" s="13">
        <f t="shared" si="24"/>
        <v>0</v>
      </c>
      <c r="AG30" s="13">
        <f t="shared" si="10"/>
        <v>0</v>
      </c>
      <c r="AH30" s="44">
        <f t="shared" si="4"/>
        <v>0</v>
      </c>
      <c r="AI30" s="44">
        <v>0</v>
      </c>
      <c r="AJ30" s="13">
        <f t="shared" si="11"/>
        <v>-60000</v>
      </c>
      <c r="AK30" s="42">
        <f t="shared" si="19"/>
        <v>0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0</v>
      </c>
      <c r="AO30" s="42">
        <v>0</v>
      </c>
      <c r="AP30" s="13">
        <f t="shared" si="14"/>
        <v>0</v>
      </c>
      <c r="AQ30" s="42">
        <v>0</v>
      </c>
      <c r="AR30" s="12">
        <f t="shared" si="56"/>
        <v>-13500</v>
      </c>
      <c r="AS30" s="12">
        <f t="shared" si="57"/>
        <v>0</v>
      </c>
      <c r="AT30" s="31">
        <f>AF30</f>
        <v>0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86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20545.400000000001</v>
      </c>
      <c r="W31" s="12">
        <f t="shared" si="61"/>
        <v>0</v>
      </c>
      <c r="X31" s="12">
        <f t="shared" si="61"/>
        <v>0</v>
      </c>
      <c r="Y31" s="12">
        <f t="shared" si="61"/>
        <v>20545.400000000001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62458.32</v>
      </c>
      <c r="AC31" s="12">
        <f t="shared" si="63"/>
        <v>0</v>
      </c>
      <c r="AD31" s="12">
        <f t="shared" ref="AD31" si="64">AD32+AD33+AD34+AD35</f>
        <v>14500</v>
      </c>
      <c r="AE31" s="12">
        <v>18381</v>
      </c>
      <c r="AF31" s="12">
        <f t="shared" ref="AF31" si="65">AF32+AF33+AF34+AF35</f>
        <v>32881</v>
      </c>
      <c r="AG31" s="12">
        <f t="shared" si="10"/>
        <v>14500</v>
      </c>
      <c r="AH31" s="44">
        <f t="shared" si="4"/>
        <v>-15119</v>
      </c>
      <c r="AI31" s="44">
        <v>0</v>
      </c>
      <c r="AJ31" s="12">
        <f t="shared" si="11"/>
        <v>-691109</v>
      </c>
      <c r="AK31" s="44">
        <f t="shared" si="19"/>
        <v>4.541637315432534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-29577.32</v>
      </c>
      <c r="AO31" s="44">
        <f t="shared" si="13"/>
        <v>52.644707702672754</v>
      </c>
      <c r="AP31" s="12">
        <f t="shared" si="14"/>
        <v>12335.599999999999</v>
      </c>
      <c r="AQ31" s="44">
        <f t="shared" si="36"/>
        <v>160.04069037351425</v>
      </c>
      <c r="AR31" s="12">
        <f t="shared" si="56"/>
        <v>9785.4599999999991</v>
      </c>
      <c r="AS31" s="12">
        <f t="shared" si="57"/>
        <v>142.36947912887078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95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18415.79</v>
      </c>
      <c r="W32" s="13"/>
      <c r="X32" s="13"/>
      <c r="Y32" s="13">
        <f>V32</f>
        <v>18415.79</v>
      </c>
      <c r="Z32" s="13"/>
      <c r="AA32" s="13">
        <v>649240</v>
      </c>
      <c r="AB32" s="13">
        <v>50000</v>
      </c>
      <c r="AC32" s="114">
        <v>0</v>
      </c>
      <c r="AD32" s="114">
        <v>14500</v>
      </c>
      <c r="AE32" s="13">
        <v>0</v>
      </c>
      <c r="AF32" s="13">
        <f t="shared" si="24"/>
        <v>14500</v>
      </c>
      <c r="AG32" s="13">
        <f t="shared" si="10"/>
        <v>14500</v>
      </c>
      <c r="AH32" s="44"/>
      <c r="AI32" s="44"/>
      <c r="AJ32" s="13">
        <f t="shared" si="11"/>
        <v>-634740</v>
      </c>
      <c r="AK32" s="42">
        <f t="shared" si="19"/>
        <v>2.2333805680487955</v>
      </c>
      <c r="AL32" s="12"/>
      <c r="AM32" s="12"/>
      <c r="AN32" s="42">
        <f t="shared" si="12"/>
        <v>-35500</v>
      </c>
      <c r="AO32" s="42">
        <f t="shared" si="13"/>
        <v>28.999999999999996</v>
      </c>
      <c r="AP32" s="13">
        <f t="shared" si="14"/>
        <v>-3915.7900000000009</v>
      </c>
      <c r="AQ32" s="42">
        <f t="shared" si="36"/>
        <v>78.736779687431266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96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1829.61</v>
      </c>
      <c r="W33" s="13"/>
      <c r="X33" s="13"/>
      <c r="Y33" s="13">
        <f t="shared" ref="Y33:Y35" si="67">V33</f>
        <v>1829.61</v>
      </c>
      <c r="Z33" s="13"/>
      <c r="AA33" s="13">
        <v>74750</v>
      </c>
      <c r="AB33" s="13">
        <v>0</v>
      </c>
      <c r="AC33" s="114">
        <v>0</v>
      </c>
      <c r="AD33" s="114">
        <v>0</v>
      </c>
      <c r="AE33" s="13">
        <v>0</v>
      </c>
      <c r="AF33" s="13">
        <f t="shared" si="24"/>
        <v>0</v>
      </c>
      <c r="AG33" s="13">
        <f t="shared" si="10"/>
        <v>0</v>
      </c>
      <c r="AH33" s="44"/>
      <c r="AI33" s="44"/>
      <c r="AJ33" s="13">
        <f t="shared" si="11"/>
        <v>-74750</v>
      </c>
      <c r="AK33" s="42">
        <f t="shared" si="19"/>
        <v>0</v>
      </c>
      <c r="AL33" s="12"/>
      <c r="AM33" s="12"/>
      <c r="AN33" s="42">
        <f t="shared" si="12"/>
        <v>0</v>
      </c>
      <c r="AO33" s="42">
        <v>0</v>
      </c>
      <c r="AP33" s="13">
        <f t="shared" si="14"/>
        <v>-1829.61</v>
      </c>
      <c r="AQ33" s="42">
        <f t="shared" si="36"/>
        <v>0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97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12458.32</v>
      </c>
      <c r="AC34" s="114">
        <v>0</v>
      </c>
      <c r="AD34" s="114">
        <v>0</v>
      </c>
      <c r="AE34" s="13">
        <v>18381</v>
      </c>
      <c r="AF34" s="13">
        <f t="shared" si="24"/>
        <v>18381</v>
      </c>
      <c r="AG34" s="13">
        <f t="shared" si="10"/>
        <v>0</v>
      </c>
      <c r="AH34" s="44"/>
      <c r="AI34" s="44"/>
      <c r="AJ34" s="13">
        <f t="shared" si="11"/>
        <v>18381</v>
      </c>
      <c r="AK34" s="42">
        <v>0</v>
      </c>
      <c r="AL34" s="12"/>
      <c r="AM34" s="12"/>
      <c r="AN34" s="42">
        <f t="shared" si="12"/>
        <v>5922.68</v>
      </c>
      <c r="AO34" s="42">
        <f t="shared" si="13"/>
        <v>147.53995723339906</v>
      </c>
      <c r="AP34" s="13">
        <f t="shared" si="14"/>
        <v>18381</v>
      </c>
      <c r="AQ34" s="42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98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300</v>
      </c>
      <c r="W35" s="13"/>
      <c r="X35" s="13"/>
      <c r="Y35" s="13">
        <f t="shared" si="67"/>
        <v>300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42">
        <v>0</v>
      </c>
      <c r="AP35" s="13">
        <f t="shared" si="14"/>
        <v>-300</v>
      </c>
      <c r="AQ35" s="42"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18" t="s">
        <v>14</v>
      </c>
      <c r="C36" s="118"/>
      <c r="D36" s="118"/>
      <c r="E36" s="118"/>
      <c r="F36" s="118"/>
      <c r="G36" s="118"/>
      <c r="H36" s="118"/>
      <c r="I36" s="118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2648.03</v>
      </c>
      <c r="W36" s="12"/>
      <c r="X36" s="12"/>
      <c r="Y36" s="12">
        <f>V36</f>
        <v>2648.03</v>
      </c>
      <c r="Z36" s="12">
        <v>763440</v>
      </c>
      <c r="AA36" s="12">
        <v>447000</v>
      </c>
      <c r="AB36" s="12">
        <v>124477</v>
      </c>
      <c r="AC36" s="12">
        <v>157751.87</v>
      </c>
      <c r="AD36" s="12">
        <v>4671.62</v>
      </c>
      <c r="AE36" s="12">
        <v>157752.6</v>
      </c>
      <c r="AF36" s="12">
        <f t="shared" si="24"/>
        <v>162424.22</v>
      </c>
      <c r="AG36" s="12">
        <f t="shared" si="10"/>
        <v>-153080.25</v>
      </c>
      <c r="AH36" s="44">
        <f t="shared" si="4"/>
        <v>-601015.78</v>
      </c>
      <c r="AI36" s="44">
        <v>0</v>
      </c>
      <c r="AJ36" s="12">
        <f t="shared" si="11"/>
        <v>-284575.78000000003</v>
      </c>
      <c r="AK36" s="44">
        <f t="shared" si="19"/>
        <v>36.336514541387025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37947.22</v>
      </c>
      <c r="AO36" s="44">
        <f t="shared" si="13"/>
        <v>130.48532660652168</v>
      </c>
      <c r="AP36" s="12">
        <f t="shared" si="14"/>
        <v>159776.19</v>
      </c>
      <c r="AQ36" s="44">
        <f t="shared" si="36"/>
        <v>6133.7756747468866</v>
      </c>
      <c r="AR36" s="12">
        <f t="shared" si="56"/>
        <v>220198.58000000002</v>
      </c>
      <c r="AS36" s="12">
        <f t="shared" si="57"/>
        <v>-281.13547255218407</v>
      </c>
      <c r="AT36" s="34">
        <v>745000</v>
      </c>
    </row>
    <row r="37" spans="1:47" s="10" customFormat="1" ht="57.75" hidden="1" customHeight="1" x14ac:dyDescent="0.3">
      <c r="A37" s="9"/>
      <c r="B37" s="118" t="s">
        <v>13</v>
      </c>
      <c r="C37" s="118"/>
      <c r="D37" s="118"/>
      <c r="E37" s="118"/>
      <c r="F37" s="118"/>
      <c r="G37" s="118"/>
      <c r="H37" s="118"/>
      <c r="I37" s="118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2212655.21</v>
      </c>
      <c r="W37" s="12"/>
      <c r="X37" s="12">
        <f t="shared" si="70"/>
        <v>0</v>
      </c>
      <c r="Y37" s="12">
        <f t="shared" si="70"/>
        <v>2212655.21</v>
      </c>
      <c r="Z37" s="12">
        <f>Z38+Z44</f>
        <v>25090600</v>
      </c>
      <c r="AA37" s="12">
        <f>AA38+AA44</f>
        <v>29480458</v>
      </c>
      <c r="AB37" s="12">
        <f>AB38+AB44</f>
        <v>4216065.0199999996</v>
      </c>
      <c r="AC37" s="12">
        <f t="shared" ref="AC37" si="71">AC38+AC44</f>
        <v>216814.16999999998</v>
      </c>
      <c r="AD37" s="12">
        <f t="shared" ref="AD37" si="72">AD38+AD44</f>
        <v>270580</v>
      </c>
      <c r="AE37" s="12">
        <v>216815.16999999998</v>
      </c>
      <c r="AF37" s="12">
        <f>AF38+AF44</f>
        <v>487395.17</v>
      </c>
      <c r="AG37" s="12">
        <f t="shared" si="10"/>
        <v>53765.830000000016</v>
      </c>
      <c r="AH37" s="44">
        <f t="shared" si="4"/>
        <v>-24603204.829999998</v>
      </c>
      <c r="AI37" s="44">
        <v>0</v>
      </c>
      <c r="AJ37" s="12">
        <f t="shared" si="11"/>
        <v>-28993062.829999998</v>
      </c>
      <c r="AK37" s="44">
        <f t="shared" si="19"/>
        <v>1.6532822183427407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-3728669.8499999996</v>
      </c>
      <c r="AO37" s="44">
        <f t="shared" si="13"/>
        <v>11.560428211802105</v>
      </c>
      <c r="AP37" s="12">
        <f t="shared" si="14"/>
        <v>-1725260.04</v>
      </c>
      <c r="AQ37" s="44">
        <f t="shared" si="36"/>
        <v>22.027614957686968</v>
      </c>
      <c r="AR37" s="12">
        <f t="shared" si="56"/>
        <v>-10008736.290000001</v>
      </c>
      <c r="AS37" s="12">
        <f t="shared" si="57"/>
        <v>4.6435696033098264</v>
      </c>
      <c r="AT37" s="34">
        <f t="shared" ref="AT37" si="73">AT38+AT44</f>
        <v>487395.17</v>
      </c>
    </row>
    <row r="38" spans="1:47" s="5" customFormat="1" ht="39" hidden="1" customHeight="1" x14ac:dyDescent="0.3">
      <c r="A38" s="4"/>
      <c r="B38" s="117" t="s">
        <v>60</v>
      </c>
      <c r="C38" s="117"/>
      <c r="D38" s="117"/>
      <c r="E38" s="117"/>
      <c r="F38" s="117"/>
      <c r="G38" s="117"/>
      <c r="H38" s="117"/>
      <c r="I38" s="117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2185973.19</v>
      </c>
      <c r="W38" s="13"/>
      <c r="X38" s="13">
        <f t="shared" si="75"/>
        <v>0</v>
      </c>
      <c r="Y38" s="13">
        <f t="shared" si="75"/>
        <v>2185973.19</v>
      </c>
      <c r="Z38" s="13">
        <f t="shared" si="75"/>
        <v>25090600</v>
      </c>
      <c r="AA38" s="13">
        <f t="shared" si="75"/>
        <v>29480458</v>
      </c>
      <c r="AB38" s="13">
        <f t="shared" si="75"/>
        <v>4216065.0199999996</v>
      </c>
      <c r="AC38" s="13">
        <f t="shared" si="75"/>
        <v>216795.71</v>
      </c>
      <c r="AD38" s="13">
        <f t="shared" ref="AD38" si="76">AD39+AD40+AD43+AD41+AD42</f>
        <v>270390</v>
      </c>
      <c r="AE38" s="13">
        <v>216796.71</v>
      </c>
      <c r="AF38" s="13">
        <f>AF39+AF40+AF43+AF41+AF42</f>
        <v>487186.70999999996</v>
      </c>
      <c r="AG38" s="13">
        <f t="shared" si="10"/>
        <v>53594.290000000008</v>
      </c>
      <c r="AH38" s="44">
        <f t="shared" si="4"/>
        <v>-24603413.289999999</v>
      </c>
      <c r="AI38" s="44">
        <v>0</v>
      </c>
      <c r="AJ38" s="12">
        <f t="shared" si="11"/>
        <v>-28993271.289999999</v>
      </c>
      <c r="AK38" s="42">
        <f t="shared" si="19"/>
        <v>1.6525751058548681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-3728878.3099999996</v>
      </c>
      <c r="AO38" s="42">
        <f t="shared" si="13"/>
        <v>11.555483790902258</v>
      </c>
      <c r="AP38" s="13">
        <f t="shared" si="14"/>
        <v>-1698786.48</v>
      </c>
      <c r="AQ38" s="42">
        <f t="shared" si="36"/>
        <v>22.286948084665209</v>
      </c>
      <c r="AR38" s="12">
        <f t="shared" si="56"/>
        <v>-9384497.2699999996</v>
      </c>
      <c r="AS38" s="12">
        <f t="shared" si="57"/>
        <v>4.9351935392891289</v>
      </c>
      <c r="AT38" s="31">
        <f>AF38</f>
        <v>487186.70999999996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99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49243</v>
      </c>
      <c r="W39" s="31"/>
      <c r="X39" s="31"/>
      <c r="Y39" s="31">
        <f>V39</f>
        <v>49243</v>
      </c>
      <c r="Z39" s="31">
        <v>360000</v>
      </c>
      <c r="AA39" s="31">
        <v>380458</v>
      </c>
      <c r="AB39" s="31">
        <v>32000</v>
      </c>
      <c r="AC39" s="31">
        <v>6700</v>
      </c>
      <c r="AD39" s="31">
        <f>16640+5550</f>
        <v>22190</v>
      </c>
      <c r="AE39" s="31">
        <v>6701</v>
      </c>
      <c r="AF39" s="31">
        <f t="shared" si="24"/>
        <v>28891</v>
      </c>
      <c r="AG39" s="31">
        <f t="shared" si="10"/>
        <v>15490</v>
      </c>
      <c r="AH39" s="103">
        <f t="shared" si="4"/>
        <v>-331109</v>
      </c>
      <c r="AI39" s="103">
        <f>AF39/Z39*100</f>
        <v>8.0252777777777791</v>
      </c>
      <c r="AJ39" s="31">
        <f t="shared" si="11"/>
        <v>-351567</v>
      </c>
      <c r="AK39" s="103">
        <f t="shared" si="19"/>
        <v>7.5937422790426279</v>
      </c>
      <c r="AL39" s="31"/>
      <c r="AM39" s="31"/>
      <c r="AN39" s="103">
        <f t="shared" si="12"/>
        <v>-3109</v>
      </c>
      <c r="AO39" s="103">
        <f t="shared" si="13"/>
        <v>90.284374999999997</v>
      </c>
      <c r="AP39" s="31">
        <f t="shared" si="14"/>
        <v>-20352</v>
      </c>
      <c r="AQ39" s="103">
        <f t="shared" si="36"/>
        <v>58.670267855329691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100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2090060.19</v>
      </c>
      <c r="W40" s="31"/>
      <c r="X40" s="31"/>
      <c r="Y40" s="31">
        <f>V40</f>
        <v>2090060.19</v>
      </c>
      <c r="Z40" s="31">
        <v>22830600</v>
      </c>
      <c r="AA40" s="31">
        <v>27500000</v>
      </c>
      <c r="AB40" s="31">
        <v>4013400</v>
      </c>
      <c r="AC40" s="31">
        <v>147185.71</v>
      </c>
      <c r="AD40" s="31">
        <v>171550</v>
      </c>
      <c r="AE40" s="31">
        <v>147185.71</v>
      </c>
      <c r="AF40" s="31">
        <f t="shared" si="24"/>
        <v>318735.70999999996</v>
      </c>
      <c r="AG40" s="31">
        <f t="shared" si="10"/>
        <v>24364.290000000008</v>
      </c>
      <c r="AH40" s="103">
        <f t="shared" si="4"/>
        <v>-22511864.289999999</v>
      </c>
      <c r="AI40" s="103">
        <f>AF40/Z40*100</f>
        <v>1.3960899406936302</v>
      </c>
      <c r="AJ40" s="31">
        <f t="shared" si="11"/>
        <v>-27181264.289999999</v>
      </c>
      <c r="AK40" s="103">
        <f t="shared" si="19"/>
        <v>1.1590389454545453</v>
      </c>
      <c r="AL40" s="31"/>
      <c r="AM40" s="31"/>
      <c r="AN40" s="103">
        <f t="shared" si="12"/>
        <v>-3694664.29</v>
      </c>
      <c r="AO40" s="103">
        <f t="shared" si="13"/>
        <v>7.9417877610006471</v>
      </c>
      <c r="AP40" s="31">
        <f t="shared" si="14"/>
        <v>-1771324.48</v>
      </c>
      <c r="AQ40" s="103">
        <f t="shared" si="36"/>
        <v>15.250073252675081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101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44870</v>
      </c>
      <c r="W41" s="31"/>
      <c r="X41" s="31"/>
      <c r="Y41" s="31">
        <f t="shared" ref="Y41:Y42" si="79">V41</f>
        <v>44870</v>
      </c>
      <c r="Z41" s="31">
        <v>1400000</v>
      </c>
      <c r="AA41" s="31">
        <v>1400000</v>
      </c>
      <c r="AB41" s="31">
        <v>120665.02</v>
      </c>
      <c r="AC41" s="31">
        <v>62910</v>
      </c>
      <c r="AD41" s="31">
        <f>62040+14610</f>
        <v>76650</v>
      </c>
      <c r="AE41" s="31">
        <v>62910</v>
      </c>
      <c r="AF41" s="31">
        <f t="shared" si="24"/>
        <v>139560</v>
      </c>
      <c r="AG41" s="31">
        <f t="shared" si="10"/>
        <v>13740</v>
      </c>
      <c r="AH41" s="103">
        <f t="shared" si="4"/>
        <v>-1260440</v>
      </c>
      <c r="AI41" s="103">
        <f t="shared" ref="AI41:AI42" si="80">AF41/Z41*100</f>
        <v>9.968571428571428</v>
      </c>
      <c r="AJ41" s="31">
        <f t="shared" si="11"/>
        <v>-1260440</v>
      </c>
      <c r="AK41" s="103">
        <f t="shared" si="19"/>
        <v>9.968571428571428</v>
      </c>
      <c r="AL41" s="31"/>
      <c r="AM41" s="31"/>
      <c r="AN41" s="103">
        <f t="shared" si="12"/>
        <v>18894.979999999996</v>
      </c>
      <c r="AO41" s="103">
        <f t="shared" si="13"/>
        <v>115.65903689403937</v>
      </c>
      <c r="AP41" s="31">
        <f t="shared" si="14"/>
        <v>94690</v>
      </c>
      <c r="AQ41" s="103">
        <v>0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102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50000</v>
      </c>
      <c r="AC42" s="31">
        <v>0</v>
      </c>
      <c r="AD42" s="31">
        <v>0</v>
      </c>
      <c r="AE42" s="31">
        <v>0</v>
      </c>
      <c r="AF42" s="31">
        <f t="shared" si="24"/>
        <v>0</v>
      </c>
      <c r="AG42" s="31">
        <f t="shared" si="10"/>
        <v>0</v>
      </c>
      <c r="AH42" s="103">
        <f t="shared" si="4"/>
        <v>-500000</v>
      </c>
      <c r="AI42" s="103">
        <f t="shared" si="80"/>
        <v>0</v>
      </c>
      <c r="AJ42" s="31">
        <f t="shared" si="11"/>
        <v>-200000</v>
      </c>
      <c r="AK42" s="103">
        <f t="shared" si="19"/>
        <v>0</v>
      </c>
      <c r="AL42" s="31"/>
      <c r="AM42" s="31"/>
      <c r="AN42" s="103">
        <f t="shared" si="12"/>
        <v>-50000</v>
      </c>
      <c r="AO42" s="103">
        <f t="shared" si="13"/>
        <v>0</v>
      </c>
      <c r="AP42" s="31">
        <f t="shared" si="14"/>
        <v>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103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1800</v>
      </c>
      <c r="W43" s="31"/>
      <c r="X43" s="31"/>
      <c r="Y43" s="31">
        <f>V43</f>
        <v>1800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f t="shared" si="24"/>
        <v>0</v>
      </c>
      <c r="AG43" s="31">
        <f t="shared" si="10"/>
        <v>0</v>
      </c>
      <c r="AH43" s="103">
        <f t="shared" si="4"/>
        <v>0</v>
      </c>
      <c r="AI43" s="103">
        <v>0</v>
      </c>
      <c r="AJ43" s="31">
        <f t="shared" si="11"/>
        <v>0</v>
      </c>
      <c r="AK43" s="103">
        <v>100</v>
      </c>
      <c r="AL43" s="31"/>
      <c r="AM43" s="31"/>
      <c r="AN43" s="103">
        <f t="shared" si="12"/>
        <v>0</v>
      </c>
      <c r="AO43" s="103">
        <v>0</v>
      </c>
      <c r="AP43" s="31">
        <f t="shared" si="14"/>
        <v>-1800</v>
      </c>
      <c r="AQ43" s="103">
        <f t="shared" si="36"/>
        <v>0</v>
      </c>
      <c r="AR43" s="12"/>
      <c r="AS43" s="12"/>
      <c r="AT43" s="31"/>
    </row>
    <row r="44" spans="1:47" s="5" customFormat="1" ht="28.5" hidden="1" customHeight="1" x14ac:dyDescent="0.3">
      <c r="A44" s="4"/>
      <c r="B44" s="117" t="s">
        <v>12</v>
      </c>
      <c r="C44" s="117"/>
      <c r="D44" s="117"/>
      <c r="E44" s="117"/>
      <c r="F44" s="117"/>
      <c r="G44" s="117"/>
      <c r="H44" s="117"/>
      <c r="I44" s="117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26682.02</v>
      </c>
      <c r="W44" s="13"/>
      <c r="X44" s="13"/>
      <c r="Y44" s="13">
        <f>V44</f>
        <v>26682.02</v>
      </c>
      <c r="Z44" s="13"/>
      <c r="AA44" s="13">
        <v>0</v>
      </c>
      <c r="AB44" s="13">
        <v>0</v>
      </c>
      <c r="AC44" s="13">
        <v>18.46</v>
      </c>
      <c r="AD44" s="13">
        <v>190</v>
      </c>
      <c r="AE44" s="13">
        <v>18.46</v>
      </c>
      <c r="AF44" s="13">
        <f t="shared" si="24"/>
        <v>208.46</v>
      </c>
      <c r="AG44" s="13">
        <f t="shared" si="10"/>
        <v>171.54</v>
      </c>
      <c r="AH44" s="44">
        <f t="shared" si="4"/>
        <v>208.46</v>
      </c>
      <c r="AI44" s="44">
        <v>0</v>
      </c>
      <c r="AJ44" s="13">
        <f t="shared" si="11"/>
        <v>208.46</v>
      </c>
      <c r="AK44" s="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208.46</v>
      </c>
      <c r="AO44" s="115">
        <v>0</v>
      </c>
      <c r="AP44" s="13">
        <f t="shared" si="14"/>
        <v>-26473.56</v>
      </c>
      <c r="AQ44" s="42">
        <v>0</v>
      </c>
      <c r="AR44" s="12">
        <f t="shared" ref="AR44:AR59" si="81">AF44-M44</f>
        <v>-624239.02</v>
      </c>
      <c r="AS44" s="12">
        <f t="shared" ref="AS44:AS59" si="82">IF(M44=0,0,AF44/M44*100)</f>
        <v>3.3383111739036887E-2</v>
      </c>
      <c r="AT44" s="31">
        <f>AF44</f>
        <v>208.46</v>
      </c>
    </row>
    <row r="45" spans="1:47" s="10" customFormat="1" ht="60" hidden="1" customHeight="1" x14ac:dyDescent="0.3">
      <c r="A45" s="9"/>
      <c r="B45" s="118" t="s">
        <v>11</v>
      </c>
      <c r="C45" s="118"/>
      <c r="D45" s="118"/>
      <c r="E45" s="118"/>
      <c r="F45" s="118"/>
      <c r="G45" s="118"/>
      <c r="H45" s="118"/>
      <c r="I45" s="118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115228.8</v>
      </c>
      <c r="W45" s="12"/>
      <c r="X45" s="12">
        <f t="shared" si="83"/>
        <v>0</v>
      </c>
      <c r="Y45" s="12">
        <f t="shared" si="83"/>
        <v>115228.8</v>
      </c>
      <c r="Z45" s="12">
        <f t="shared" si="83"/>
        <v>132000</v>
      </c>
      <c r="AA45" s="12">
        <f t="shared" si="83"/>
        <v>132000</v>
      </c>
      <c r="AB45" s="12">
        <f t="shared" si="83"/>
        <v>0</v>
      </c>
      <c r="AC45" s="12">
        <f t="shared" si="83"/>
        <v>0</v>
      </c>
      <c r="AD45" s="12">
        <f t="shared" ref="AD45" si="84">AD46+AD47</f>
        <v>264845.15999999997</v>
      </c>
      <c r="AE45" s="12">
        <v>0</v>
      </c>
      <c r="AF45" s="12">
        <f t="shared" si="83"/>
        <v>264845.15999999997</v>
      </c>
      <c r="AG45" s="12">
        <f t="shared" si="10"/>
        <v>264845.15999999997</v>
      </c>
      <c r="AH45" s="44">
        <f t="shared" si="4"/>
        <v>132845.15999999997</v>
      </c>
      <c r="AI45" s="44">
        <f t="shared" ref="AI45:AI58" si="85">AF45/Z45*100</f>
        <v>200.6402727272727</v>
      </c>
      <c r="AJ45" s="12">
        <f t="shared" si="11"/>
        <v>132845.15999999997</v>
      </c>
      <c r="AK45" s="44">
        <f t="shared" si="19"/>
        <v>200.6402727272727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264845.15999999997</v>
      </c>
      <c r="AO45" s="44">
        <v>0</v>
      </c>
      <c r="AP45" s="12">
        <f t="shared" si="14"/>
        <v>149616.35999999999</v>
      </c>
      <c r="AQ45" s="44">
        <v>0</v>
      </c>
      <c r="AR45" s="12">
        <f t="shared" si="81"/>
        <v>-2933443.9699999997</v>
      </c>
      <c r="AS45" s="12">
        <f t="shared" si="82"/>
        <v>8.2808385744662178</v>
      </c>
      <c r="AT45" s="34">
        <f t="shared" ref="AT45" si="86">AT46+AT47</f>
        <v>264845.15999999997</v>
      </c>
    </row>
    <row r="46" spans="1:47" s="5" customFormat="1" ht="63" hidden="1" customHeight="1" x14ac:dyDescent="0.3">
      <c r="A46" s="4"/>
      <c r="B46" s="117" t="s">
        <v>37</v>
      </c>
      <c r="C46" s="117"/>
      <c r="D46" s="117"/>
      <c r="E46" s="117"/>
      <c r="F46" s="117"/>
      <c r="G46" s="117"/>
      <c r="H46" s="117"/>
      <c r="I46" s="117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42">
        <v>0</v>
      </c>
      <c r="AP46" s="13">
        <f t="shared" si="14"/>
        <v>-5228.8</v>
      </c>
      <c r="AQ46" s="42"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17" t="s">
        <v>10</v>
      </c>
      <c r="C47" s="117"/>
      <c r="D47" s="117"/>
      <c r="E47" s="117"/>
      <c r="F47" s="117"/>
      <c r="G47" s="117"/>
      <c r="H47" s="117"/>
      <c r="I47" s="117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110000</v>
      </c>
      <c r="W47" s="13"/>
      <c r="X47" s="13"/>
      <c r="Y47" s="13">
        <f>V47</f>
        <v>110000</v>
      </c>
      <c r="Z47" s="13">
        <v>0</v>
      </c>
      <c r="AA47" s="13">
        <v>132000</v>
      </c>
      <c r="AB47" s="13">
        <v>0</v>
      </c>
      <c r="AC47" s="13">
        <v>0</v>
      </c>
      <c r="AD47" s="13">
        <v>264845.15999999997</v>
      </c>
      <c r="AE47" s="13">
        <v>0</v>
      </c>
      <c r="AF47" s="13">
        <f t="shared" si="24"/>
        <v>264845.15999999997</v>
      </c>
      <c r="AG47" s="13">
        <f t="shared" si="10"/>
        <v>264845.15999999997</v>
      </c>
      <c r="AH47" s="44">
        <f t="shared" si="4"/>
        <v>264845.15999999997</v>
      </c>
      <c r="AI47" s="44">
        <v>0</v>
      </c>
      <c r="AJ47" s="13">
        <f t="shared" si="11"/>
        <v>132845.15999999997</v>
      </c>
      <c r="AK47" s="42">
        <f>AF47/AA47%</f>
        <v>200.6402727272727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264845.15999999997</v>
      </c>
      <c r="AO47" s="42">
        <v>0</v>
      </c>
      <c r="AP47" s="13">
        <f t="shared" si="14"/>
        <v>154845.15999999997</v>
      </c>
      <c r="AQ47" s="42">
        <f t="shared" si="36"/>
        <v>240.76832727272725</v>
      </c>
      <c r="AR47" s="12">
        <f t="shared" si="81"/>
        <v>-2933443.9699999997</v>
      </c>
      <c r="AS47" s="12">
        <f t="shared" si="82"/>
        <v>8.2808385744662178</v>
      </c>
      <c r="AT47" s="31">
        <f>AF47</f>
        <v>264845.15999999997</v>
      </c>
      <c r="AU47" s="86" t="s">
        <v>79</v>
      </c>
    </row>
    <row r="48" spans="1:47" s="10" customFormat="1" ht="39.75" hidden="1" customHeight="1" x14ac:dyDescent="0.3">
      <c r="A48" s="9"/>
      <c r="B48" s="118" t="s">
        <v>9</v>
      </c>
      <c r="C48" s="118"/>
      <c r="D48" s="118"/>
      <c r="E48" s="118"/>
      <c r="F48" s="118"/>
      <c r="G48" s="118"/>
      <c r="H48" s="118"/>
      <c r="I48" s="118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51160.26</v>
      </c>
      <c r="W48" s="12"/>
      <c r="X48" s="12"/>
      <c r="Y48" s="12">
        <f>V48</f>
        <v>51160.26</v>
      </c>
      <c r="Z48" s="12">
        <v>1249470</v>
      </c>
      <c r="AA48" s="12">
        <v>1147080</v>
      </c>
      <c r="AB48" s="12">
        <v>110917</v>
      </c>
      <c r="AC48" s="12">
        <v>8147.03</v>
      </c>
      <c r="AD48" s="12">
        <f>69000.85+500+1000</f>
        <v>70500.850000000006</v>
      </c>
      <c r="AE48" s="12">
        <v>13947.029999999999</v>
      </c>
      <c r="AF48" s="12">
        <f t="shared" si="24"/>
        <v>84447.88</v>
      </c>
      <c r="AG48" s="12">
        <f t="shared" si="10"/>
        <v>62353.820000000007</v>
      </c>
      <c r="AH48" s="44">
        <f t="shared" si="4"/>
        <v>-1165022.1200000001</v>
      </c>
      <c r="AI48" s="44">
        <f t="shared" si="85"/>
        <v>6.7586960871409492</v>
      </c>
      <c r="AJ48" s="12">
        <f t="shared" si="11"/>
        <v>-1062632.1200000001</v>
      </c>
      <c r="AK48" s="44">
        <f t="shared" si="19"/>
        <v>7.3619869581894903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-26469.119999999995</v>
      </c>
      <c r="AO48" s="44">
        <f t="shared" si="13"/>
        <v>76.136101769791836</v>
      </c>
      <c r="AP48" s="12">
        <f t="shared" si="14"/>
        <v>33287.620000000003</v>
      </c>
      <c r="AQ48" s="44">
        <f t="shared" si="36"/>
        <v>165.06538473416671</v>
      </c>
      <c r="AR48" s="12">
        <f t="shared" si="81"/>
        <v>-889809.39</v>
      </c>
      <c r="AS48" s="12">
        <f t="shared" si="82"/>
        <v>8.6679240279110275</v>
      </c>
      <c r="AT48" s="34">
        <f>AF48</f>
        <v>84447.88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19300</v>
      </c>
      <c r="W49" s="25"/>
      <c r="X49" s="25"/>
      <c r="Y49" s="16">
        <f>V49</f>
        <v>19300</v>
      </c>
      <c r="Z49" s="25">
        <v>336190</v>
      </c>
      <c r="AA49" s="25">
        <v>159900</v>
      </c>
      <c r="AB49" s="25">
        <v>12000</v>
      </c>
      <c r="AC49" s="25">
        <v>0</v>
      </c>
      <c r="AD49" s="25">
        <v>1542.65</v>
      </c>
      <c r="AE49" s="25">
        <v>0</v>
      </c>
      <c r="AF49" s="25">
        <f t="shared" si="24"/>
        <v>1542.65</v>
      </c>
      <c r="AG49" s="16">
        <f t="shared" si="10"/>
        <v>1542.65</v>
      </c>
      <c r="AH49" s="44">
        <f t="shared" si="4"/>
        <v>-334647.34999999998</v>
      </c>
      <c r="AI49" s="44">
        <f t="shared" si="85"/>
        <v>0.45886254796394904</v>
      </c>
      <c r="AJ49" s="12">
        <f t="shared" si="11"/>
        <v>-158357.35</v>
      </c>
      <c r="AK49" s="42">
        <f t="shared" si="19"/>
        <v>0.96475922451532214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-10457.35</v>
      </c>
      <c r="AO49" s="42">
        <f t="shared" si="13"/>
        <v>12.855416666666667</v>
      </c>
      <c r="AP49" s="13">
        <f t="shared" si="14"/>
        <v>-17757.349999999999</v>
      </c>
      <c r="AQ49" s="42">
        <f t="shared" si="36"/>
        <v>7.9930051813471508</v>
      </c>
      <c r="AR49" s="12">
        <f t="shared" si="81"/>
        <v>-107774.38</v>
      </c>
      <c r="AS49" s="12">
        <f t="shared" si="82"/>
        <v>1.4111707937912328</v>
      </c>
      <c r="AT49" s="31">
        <f>AF49</f>
        <v>1542.65</v>
      </c>
      <c r="AV49" s="25"/>
    </row>
    <row r="50" spans="1:48" s="10" customFormat="1" ht="36.75" hidden="1" customHeight="1" x14ac:dyDescent="0.3">
      <c r="A50" s="9"/>
      <c r="B50" s="118" t="s">
        <v>7</v>
      </c>
      <c r="C50" s="118"/>
      <c r="D50" s="118"/>
      <c r="E50" s="118"/>
      <c r="F50" s="118"/>
      <c r="G50" s="118"/>
      <c r="H50" s="118"/>
      <c r="I50" s="118"/>
      <c r="J50" s="12">
        <f t="shared" ref="J50:P50" si="92">J51+J53</f>
        <v>1294662.3799999999</v>
      </c>
      <c r="K50" s="12">
        <f t="shared" si="92"/>
        <v>4263051.83</v>
      </c>
      <c r="L50" s="12">
        <f t="shared" si="92"/>
        <v>389278.05</v>
      </c>
      <c r="M50" s="12">
        <f t="shared" si="92"/>
        <v>402278.05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1046920.75</v>
      </c>
      <c r="W50" s="12">
        <f t="shared" si="94"/>
        <v>0</v>
      </c>
      <c r="X50" s="12">
        <f t="shared" si="94"/>
        <v>0</v>
      </c>
      <c r="Y50" s="12">
        <f t="shared" si="94"/>
        <v>1046920.75</v>
      </c>
      <c r="Z50" s="12">
        <f t="shared" ref="Z50:AB50" si="95">Z51+Z53</f>
        <v>2715689.65</v>
      </c>
      <c r="AA50" s="12">
        <f t="shared" si="95"/>
        <v>2968389.45</v>
      </c>
      <c r="AB50" s="12">
        <f t="shared" si="95"/>
        <v>478612.28</v>
      </c>
      <c r="AC50" s="12">
        <f>AC51+AC52+AC53</f>
        <v>0</v>
      </c>
      <c r="AD50" s="12">
        <f>AD51+AD52+AD53</f>
        <v>709836.58</v>
      </c>
      <c r="AE50" s="12">
        <v>1604.72</v>
      </c>
      <c r="AF50" s="12">
        <f>AF51+AF52+AF53</f>
        <v>711441.29999999993</v>
      </c>
      <c r="AG50" s="12">
        <f t="shared" si="10"/>
        <v>709836.58</v>
      </c>
      <c r="AH50" s="44">
        <f t="shared" si="4"/>
        <v>-2004248.35</v>
      </c>
      <c r="AI50" s="44">
        <f t="shared" si="85"/>
        <v>26.197444910540497</v>
      </c>
      <c r="AJ50" s="12">
        <f t="shared" si="11"/>
        <v>-2256948.1500000004</v>
      </c>
      <c r="AK50" s="44">
        <f t="shared" si="19"/>
        <v>23.967249310901568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232829.0199999999</v>
      </c>
      <c r="AO50" s="44">
        <f t="shared" si="13"/>
        <v>148.64668746067272</v>
      </c>
      <c r="AP50" s="12">
        <f t="shared" si="14"/>
        <v>-335479.45000000007</v>
      </c>
      <c r="AQ50" s="44">
        <f t="shared" si="36"/>
        <v>67.955602179056996</v>
      </c>
      <c r="AR50" s="12">
        <f t="shared" si="81"/>
        <v>309163.24999999994</v>
      </c>
      <c r="AS50" s="12">
        <f t="shared" si="82"/>
        <v>176.85312435018514</v>
      </c>
      <c r="AT50" s="34">
        <f t="shared" ref="AT50" si="96">AT51+AT53</f>
        <v>5049593.3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87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-13346.25</v>
      </c>
      <c r="W51" s="13"/>
      <c r="X51" s="13"/>
      <c r="Y51" s="13">
        <f>V51</f>
        <v>-13346.25</v>
      </c>
      <c r="Z51" s="13">
        <v>0</v>
      </c>
      <c r="AA51" s="13">
        <v>0</v>
      </c>
      <c r="AB51" s="13">
        <v>0</v>
      </c>
      <c r="AC51" s="114">
        <v>0</v>
      </c>
      <c r="AD51" s="114">
        <v>692436.58</v>
      </c>
      <c r="AE51" s="13">
        <v>1604.72</v>
      </c>
      <c r="AF51" s="13">
        <f t="shared" si="24"/>
        <v>694041.29999999993</v>
      </c>
      <c r="AG51" s="16">
        <f t="shared" si="10"/>
        <v>692436.58</v>
      </c>
      <c r="AH51" s="44">
        <f t="shared" si="4"/>
        <v>694041.29999999993</v>
      </c>
      <c r="AI51" s="44">
        <v>0</v>
      </c>
      <c r="AJ51" s="13">
        <f t="shared" si="11"/>
        <v>694041.29999999993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694041.29999999993</v>
      </c>
      <c r="AO51" s="42">
        <v>100</v>
      </c>
      <c r="AP51" s="13">
        <f t="shared" si="14"/>
        <v>707387.54999999993</v>
      </c>
      <c r="AQ51" s="44">
        <f t="shared" si="36"/>
        <v>-5200.2719865130648</v>
      </c>
      <c r="AR51" s="12">
        <f t="shared" si="81"/>
        <v>304763.24999999994</v>
      </c>
      <c r="AS51" s="12">
        <f t="shared" si="82"/>
        <v>178.28934870589285</v>
      </c>
      <c r="AT51" s="31">
        <f>AF51</f>
        <v>694041.29999999993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8050</v>
      </c>
      <c r="W52" s="13"/>
      <c r="X52" s="13"/>
      <c r="Y52" s="13">
        <f t="shared" ref="Y52:Y53" si="98">V52</f>
        <v>8050</v>
      </c>
      <c r="Z52" s="13"/>
      <c r="AA52" s="13">
        <v>0</v>
      </c>
      <c r="AB52" s="13">
        <v>0</v>
      </c>
      <c r="AC52" s="114">
        <v>0</v>
      </c>
      <c r="AD52" s="114">
        <v>4400</v>
      </c>
      <c r="AE52" s="13">
        <v>0</v>
      </c>
      <c r="AF52" s="13">
        <f t="shared" si="24"/>
        <v>4400</v>
      </c>
      <c r="AG52" s="16">
        <f t="shared" si="10"/>
        <v>4400</v>
      </c>
      <c r="AH52" s="44"/>
      <c r="AI52" s="44"/>
      <c r="AJ52" s="13">
        <f t="shared" si="11"/>
        <v>4400</v>
      </c>
      <c r="AK52" s="42">
        <v>100</v>
      </c>
      <c r="AL52" s="13"/>
      <c r="AM52" s="13"/>
      <c r="AN52" s="42">
        <f t="shared" si="12"/>
        <v>4400</v>
      </c>
      <c r="AO52" s="42">
        <v>100</v>
      </c>
      <c r="AP52" s="13">
        <f t="shared" si="14"/>
        <v>-3650</v>
      </c>
      <c r="AQ52" s="44">
        <f t="shared" si="36"/>
        <v>54.658385093167702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2968389.45</v>
      </c>
      <c r="L53" s="13">
        <v>0</v>
      </c>
      <c r="M53" s="37">
        <f>AF53</f>
        <v>13000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1052217</v>
      </c>
      <c r="W53" s="13"/>
      <c r="X53" s="13"/>
      <c r="Y53" s="13">
        <f t="shared" si="98"/>
        <v>1052217</v>
      </c>
      <c r="Z53" s="13">
        <v>2715689.65</v>
      </c>
      <c r="AA53" s="13">
        <v>2968389.45</v>
      </c>
      <c r="AB53" s="13">
        <v>478612.28</v>
      </c>
      <c r="AC53" s="13">
        <v>0</v>
      </c>
      <c r="AD53" s="13">
        <f>2000+1000+10000</f>
        <v>13000</v>
      </c>
      <c r="AE53" s="13">
        <v>0</v>
      </c>
      <c r="AF53" s="13">
        <f t="shared" si="24"/>
        <v>13000</v>
      </c>
      <c r="AG53" s="16">
        <f t="shared" si="10"/>
        <v>13000</v>
      </c>
      <c r="AH53" s="44">
        <f t="shared" si="4"/>
        <v>-2702689.65</v>
      </c>
      <c r="AI53" s="44">
        <f t="shared" si="85"/>
        <v>0.47869976600603098</v>
      </c>
      <c r="AJ53" s="13">
        <f t="shared" si="11"/>
        <v>-2955389.45</v>
      </c>
      <c r="AK53" s="42">
        <f t="shared" si="19"/>
        <v>0.4379479249260908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-465612.28</v>
      </c>
      <c r="AO53" s="42">
        <f t="shared" si="13"/>
        <v>2.7161860535630216</v>
      </c>
      <c r="AP53" s="13">
        <f t="shared" si="14"/>
        <v>-1039217</v>
      </c>
      <c r="AQ53" s="42">
        <f t="shared" si="36"/>
        <v>1.2354865963959905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8" t="s">
        <v>1</v>
      </c>
      <c r="C54" s="118"/>
      <c r="D54" s="118"/>
      <c r="E54" s="118"/>
      <c r="F54" s="118"/>
      <c r="G54" s="118"/>
      <c r="H54" s="118"/>
      <c r="I54" s="118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T54" si="100">S55+S56+S57+S58+S59+S60+S61+S62</f>
        <v>2058217674.4300001</v>
      </c>
      <c r="T54" s="12">
        <f t="shared" si="100"/>
        <v>2039899297.8500004</v>
      </c>
      <c r="U54" s="12">
        <f t="shared" ref="U54:AB54" si="101">U55+U56+U57+U58+U59+U61+U62</f>
        <v>2039899297.8500004</v>
      </c>
      <c r="V54" s="12">
        <f>V55+V56+V57+V58+V59+V60+V61+V62</f>
        <v>126324658.39</v>
      </c>
      <c r="W54" s="12"/>
      <c r="X54" s="12">
        <f t="shared" si="101"/>
        <v>0</v>
      </c>
      <c r="Y54" s="12">
        <f>Y55+Y56+Y57+Y58+Y59+Y60+Y61+Y62</f>
        <v>126324658.39</v>
      </c>
      <c r="Z54" s="12">
        <f t="shared" si="101"/>
        <v>1741578685.6100001</v>
      </c>
      <c r="AA54" s="12">
        <f t="shared" si="101"/>
        <v>1547736403.99</v>
      </c>
      <c r="AB54" s="12">
        <f t="shared" si="101"/>
        <v>286287712.31999999</v>
      </c>
      <c r="AC54" s="12">
        <f>AC55+AC56+AC57+AC58+AC59+AC61+AC62</f>
        <v>-43891308.469999999</v>
      </c>
      <c r="AD54" s="12">
        <f>AD55+AD56+AD57+AD58+AD59+AD61+AD62</f>
        <v>2296333.91</v>
      </c>
      <c r="AE54" s="12">
        <v>19784462.230000004</v>
      </c>
      <c r="AF54" s="12">
        <f t="shared" ref="AF54" si="102">AF55+AF56+AF57+AF58+AF59+AF61+AF62</f>
        <v>22080796.140000001</v>
      </c>
      <c r="AG54" s="12">
        <f t="shared" si="10"/>
        <v>46187642.379999995</v>
      </c>
      <c r="AH54" s="44">
        <f t="shared" si="4"/>
        <v>-1719497889.47</v>
      </c>
      <c r="AI54" s="44">
        <f t="shared" si="85"/>
        <v>1.2678609541127939</v>
      </c>
      <c r="AJ54" s="12">
        <f t="shared" si="11"/>
        <v>-1525655607.8499999</v>
      </c>
      <c r="AK54" s="44">
        <f t="shared" si="19"/>
        <v>1.4266509518724655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-264206916.18000001</v>
      </c>
      <c r="AO54" s="44">
        <f t="shared" si="13"/>
        <v>7.7127991142417756</v>
      </c>
      <c r="AP54" s="12">
        <f t="shared" si="14"/>
        <v>-104243862.25</v>
      </c>
      <c r="AQ54" s="44">
        <f t="shared" si="36"/>
        <v>17.479403009213236</v>
      </c>
      <c r="AR54" s="12">
        <f t="shared" si="81"/>
        <v>-728748873.14999998</v>
      </c>
      <c r="AS54" s="12">
        <f t="shared" si="82"/>
        <v>2.9408529048778878</v>
      </c>
      <c r="AT54" s="34" t="e">
        <f t="shared" ref="AT54" si="103">AT55+AT56+AT57+AT58+AT59+AT61+AT62</f>
        <v>#REF!</v>
      </c>
    </row>
    <row r="55" spans="1:48" s="10" customFormat="1" ht="38.25" customHeight="1" x14ac:dyDescent="0.3">
      <c r="A55" s="9"/>
      <c r="B55" s="118" t="s">
        <v>6</v>
      </c>
      <c r="C55" s="118"/>
      <c r="D55" s="118"/>
      <c r="E55" s="118"/>
      <c r="F55" s="118"/>
      <c r="G55" s="118"/>
      <c r="H55" s="118"/>
      <c r="I55" s="118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4">O55</f>
        <v>436509000</v>
      </c>
      <c r="Q55" s="12">
        <v>436509000</v>
      </c>
      <c r="R55" s="12">
        <f t="shared" ref="R55:R62" si="105">Q55</f>
        <v>436509000</v>
      </c>
      <c r="S55" s="12">
        <v>543552380</v>
      </c>
      <c r="T55" s="12">
        <v>543552380</v>
      </c>
      <c r="U55" s="12">
        <f t="shared" ref="U55:U62" si="106">T55</f>
        <v>543552380</v>
      </c>
      <c r="V55" s="12">
        <v>45273500</v>
      </c>
      <c r="W55" s="12"/>
      <c r="X55" s="12"/>
      <c r="Y55" s="12">
        <f t="shared" ref="Y55:Y62" si="107">V55</f>
        <v>45273500</v>
      </c>
      <c r="Z55" s="12">
        <v>543282000</v>
      </c>
      <c r="AA55" s="12">
        <v>504630000</v>
      </c>
      <c r="AB55" s="34">
        <v>84105000</v>
      </c>
      <c r="AC55" s="12">
        <v>0</v>
      </c>
      <c r="AD55" s="12">
        <v>0</v>
      </c>
      <c r="AE55" s="12">
        <v>42052500</v>
      </c>
      <c r="AF55" s="12">
        <f t="shared" si="24"/>
        <v>42052500</v>
      </c>
      <c r="AG55" s="12">
        <f t="shared" si="10"/>
        <v>0</v>
      </c>
      <c r="AH55" s="44">
        <f t="shared" si="4"/>
        <v>-501229500</v>
      </c>
      <c r="AI55" s="44">
        <f t="shared" si="85"/>
        <v>7.7404552331938099</v>
      </c>
      <c r="AJ55" s="12">
        <f t="shared" si="11"/>
        <v>-462577500</v>
      </c>
      <c r="AK55" s="44">
        <f t="shared" si="19"/>
        <v>8.3333333333333339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-42052500</v>
      </c>
      <c r="AO55" s="44">
        <f t="shared" si="13"/>
        <v>50</v>
      </c>
      <c r="AP55" s="12">
        <f t="shared" si="14"/>
        <v>-3221000</v>
      </c>
      <c r="AQ55" s="44">
        <f t="shared" si="36"/>
        <v>92.885462798325733</v>
      </c>
      <c r="AR55" s="12">
        <f t="shared" si="81"/>
        <v>-159436500</v>
      </c>
      <c r="AS55" s="12">
        <f t="shared" si="82"/>
        <v>20.870866399654574</v>
      </c>
      <c r="AT55" s="34">
        <v>436509000</v>
      </c>
    </row>
    <row r="56" spans="1:48" s="10" customFormat="1" ht="43.5" customHeight="1" x14ac:dyDescent="0.3">
      <c r="A56" s="9"/>
      <c r="B56" s="118" t="s">
        <v>5</v>
      </c>
      <c r="C56" s="118"/>
      <c r="D56" s="118"/>
      <c r="E56" s="118"/>
      <c r="F56" s="118"/>
      <c r="G56" s="118"/>
      <c r="H56" s="118"/>
      <c r="I56" s="118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4"/>
        <v>266680542.02000001</v>
      </c>
      <c r="Q56" s="12">
        <v>266680542.02000001</v>
      </c>
      <c r="R56" s="12">
        <f t="shared" si="105"/>
        <v>266680542.02000001</v>
      </c>
      <c r="S56" s="12">
        <v>448087921.25</v>
      </c>
      <c r="T56" s="12">
        <v>432403468.83000004</v>
      </c>
      <c r="U56" s="12">
        <f t="shared" si="106"/>
        <v>432403468.83000004</v>
      </c>
      <c r="V56" s="12">
        <v>0</v>
      </c>
      <c r="W56" s="12"/>
      <c r="X56" s="12"/>
      <c r="Y56" s="12">
        <f t="shared" si="107"/>
        <v>0</v>
      </c>
      <c r="Z56" s="12">
        <v>164450526.09999999</v>
      </c>
      <c r="AA56" s="12">
        <v>199694467.69999999</v>
      </c>
      <c r="AB56" s="12">
        <v>6842345.4699999997</v>
      </c>
      <c r="AC56" s="12">
        <v>0</v>
      </c>
      <c r="AD56" s="12">
        <v>0</v>
      </c>
      <c r="AE56" s="12">
        <v>0</v>
      </c>
      <c r="AF56" s="12">
        <f t="shared" si="24"/>
        <v>0</v>
      </c>
      <c r="AG56" s="12">
        <f t="shared" si="10"/>
        <v>0</v>
      </c>
      <c r="AH56" s="44">
        <f t="shared" si="4"/>
        <v>-164450526.09999999</v>
      </c>
      <c r="AI56" s="44">
        <f t="shared" si="85"/>
        <v>0</v>
      </c>
      <c r="AJ56" s="12">
        <f t="shared" si="11"/>
        <v>-199694467.69999999</v>
      </c>
      <c r="AK56" s="44">
        <f t="shared" si="19"/>
        <v>0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-6842345.4699999997</v>
      </c>
      <c r="AO56" s="44">
        <f t="shared" si="13"/>
        <v>0</v>
      </c>
      <c r="AP56" s="12">
        <f t="shared" si="14"/>
        <v>0</v>
      </c>
      <c r="AQ56" s="44">
        <v>0</v>
      </c>
      <c r="AR56" s="12">
        <f t="shared" si="81"/>
        <v>-68252184.099999994</v>
      </c>
      <c r="AS56" s="12">
        <f t="shared" si="82"/>
        <v>0</v>
      </c>
      <c r="AT56" s="34" t="e">
        <f>#REF!</f>
        <v>#REF!</v>
      </c>
    </row>
    <row r="57" spans="1:48" s="10" customFormat="1" ht="45" customHeight="1" x14ac:dyDescent="0.3">
      <c r="A57" s="9"/>
      <c r="B57" s="118" t="s">
        <v>4</v>
      </c>
      <c r="C57" s="118"/>
      <c r="D57" s="118"/>
      <c r="E57" s="118"/>
      <c r="F57" s="118"/>
      <c r="G57" s="118"/>
      <c r="H57" s="118"/>
      <c r="I57" s="118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4"/>
        <v>1213354064.45</v>
      </c>
      <c r="Q57" s="12">
        <v>1213354064.45</v>
      </c>
      <c r="R57" s="12">
        <f t="shared" si="105"/>
        <v>1213354064.45</v>
      </c>
      <c r="S57" s="12">
        <v>1052485113.04</v>
      </c>
      <c r="T57" s="12">
        <v>1050017221.74</v>
      </c>
      <c r="U57" s="12">
        <f t="shared" si="106"/>
        <v>1050017221.74</v>
      </c>
      <c r="V57" s="12">
        <v>81978526.319999993</v>
      </c>
      <c r="W57" s="12"/>
      <c r="X57" s="12"/>
      <c r="Y57" s="12">
        <f t="shared" si="107"/>
        <v>81978526.319999993</v>
      </c>
      <c r="Z57" s="12">
        <v>1032066181.7</v>
      </c>
      <c r="AA57" s="12">
        <v>841614535.71000004</v>
      </c>
      <c r="AB57" s="12">
        <v>195038571.05000001</v>
      </c>
      <c r="AC57" s="12">
        <v>11909138.210000001</v>
      </c>
      <c r="AD57" s="12">
        <v>2296333.91</v>
      </c>
      <c r="AE57" s="12">
        <v>34608280.049999997</v>
      </c>
      <c r="AF57" s="12">
        <f t="shared" si="24"/>
        <v>36904613.959999993</v>
      </c>
      <c r="AG57" s="12">
        <f t="shared" si="10"/>
        <v>-9612804.3000000007</v>
      </c>
      <c r="AH57" s="44">
        <f t="shared" si="4"/>
        <v>-995161567.74000001</v>
      </c>
      <c r="AI57" s="44">
        <f t="shared" si="85"/>
        <v>3.5757991700892098</v>
      </c>
      <c r="AJ57" s="12">
        <f t="shared" si="11"/>
        <v>-804709921.75</v>
      </c>
      <c r="AK57" s="44">
        <f t="shared" si="19"/>
        <v>4.3849782048817216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-158133957.09000003</v>
      </c>
      <c r="AO57" s="44">
        <f t="shared" si="13"/>
        <v>18.921700339231435</v>
      </c>
      <c r="AP57" s="12">
        <f t="shared" si="14"/>
        <v>-45073912.359999999</v>
      </c>
      <c r="AQ57" s="44">
        <f t="shared" si="36"/>
        <v>45.017415677788918</v>
      </c>
      <c r="AR57" s="12">
        <f t="shared" si="81"/>
        <v>-447594068.16000003</v>
      </c>
      <c r="AS57" s="12">
        <f t="shared" si="82"/>
        <v>7.617072103997903</v>
      </c>
      <c r="AT57" s="34" t="e">
        <f>#REF!</f>
        <v>#REF!</v>
      </c>
    </row>
    <row r="58" spans="1:48" s="10" customFormat="1" ht="27" customHeight="1" x14ac:dyDescent="0.3">
      <c r="A58" s="9"/>
      <c r="B58" s="118" t="s">
        <v>3</v>
      </c>
      <c r="C58" s="118"/>
      <c r="D58" s="118"/>
      <c r="E58" s="118"/>
      <c r="F58" s="118"/>
      <c r="G58" s="118"/>
      <c r="H58" s="118"/>
      <c r="I58" s="118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4"/>
        <v>31536396.41</v>
      </c>
      <c r="Q58" s="12">
        <v>31536396.41</v>
      </c>
      <c r="R58" s="12">
        <f t="shared" si="105"/>
        <v>31536396.41</v>
      </c>
      <c r="S58" s="12">
        <v>14687976.27</v>
      </c>
      <c r="T58" s="12">
        <v>14514443.27</v>
      </c>
      <c r="U58" s="12">
        <f t="shared" si="106"/>
        <v>14514443.27</v>
      </c>
      <c r="V58" s="12">
        <v>140379.03</v>
      </c>
      <c r="W58" s="12"/>
      <c r="X58" s="12"/>
      <c r="Y58" s="12">
        <f t="shared" si="107"/>
        <v>140379.03</v>
      </c>
      <c r="Z58" s="12">
        <v>1779977.81</v>
      </c>
      <c r="AA58" s="12">
        <v>1797400.58</v>
      </c>
      <c r="AB58" s="12">
        <v>301795.8</v>
      </c>
      <c r="AC58" s="12">
        <v>0</v>
      </c>
      <c r="AD58" s="12">
        <v>0</v>
      </c>
      <c r="AE58" s="12">
        <v>150897.9</v>
      </c>
      <c r="AF58" s="12">
        <f t="shared" si="24"/>
        <v>150897.9</v>
      </c>
      <c r="AG58" s="12">
        <f t="shared" si="10"/>
        <v>0</v>
      </c>
      <c r="AH58" s="44">
        <f t="shared" si="4"/>
        <v>-1629079.9100000001</v>
      </c>
      <c r="AI58" s="44">
        <f t="shared" si="85"/>
        <v>8.4775157955480349</v>
      </c>
      <c r="AJ58" s="12">
        <f t="shared" si="11"/>
        <v>-1646502.6800000002</v>
      </c>
      <c r="AK58" s="44">
        <f t="shared" si="19"/>
        <v>8.3953405645390404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-150897.9</v>
      </c>
      <c r="AO58" s="44">
        <f t="shared" si="13"/>
        <v>50</v>
      </c>
      <c r="AP58" s="12">
        <f t="shared" si="14"/>
        <v>10518.869999999995</v>
      </c>
      <c r="AQ58" s="44">
        <f t="shared" si="36"/>
        <v>107.49319182501831</v>
      </c>
      <c r="AR58" s="12">
        <f t="shared" si="81"/>
        <v>-378502.53</v>
      </c>
      <c r="AS58" s="12">
        <f t="shared" si="82"/>
        <v>28.503546927606383</v>
      </c>
      <c r="AT58" s="34" t="e">
        <f>#REF!</f>
        <v>#REF!</v>
      </c>
    </row>
    <row r="59" spans="1:48" s="10" customFormat="1" ht="39" customHeight="1" x14ac:dyDescent="0.3">
      <c r="A59" s="9"/>
      <c r="B59" s="118" t="s">
        <v>2</v>
      </c>
      <c r="C59" s="118"/>
      <c r="D59" s="118"/>
      <c r="E59" s="118"/>
      <c r="F59" s="118"/>
      <c r="G59" s="118"/>
      <c r="H59" s="118"/>
      <c r="I59" s="118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4"/>
        <v>18244.099999999999</v>
      </c>
      <c r="Q59" s="12">
        <v>18244.099999999999</v>
      </c>
      <c r="R59" s="12">
        <f t="shared" si="105"/>
        <v>18244.099999999999</v>
      </c>
      <c r="S59" s="12">
        <v>102600.69</v>
      </c>
      <c r="T59" s="12">
        <v>110100.69</v>
      </c>
      <c r="U59" s="12">
        <f t="shared" si="106"/>
        <v>110100.69</v>
      </c>
      <c r="V59" s="12">
        <v>2043.4</v>
      </c>
      <c r="W59" s="12"/>
      <c r="X59" s="12"/>
      <c r="Y59" s="12">
        <f t="shared" si="107"/>
        <v>2043.4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44">
        <v>0</v>
      </c>
      <c r="AP59" s="12">
        <f t="shared" si="14"/>
        <v>-2043.4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7"/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f t="shared" si="24"/>
        <v>0</v>
      </c>
      <c r="AG60" s="12">
        <f>AD60-AC60</f>
        <v>0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4"/>
        <v>280404</v>
      </c>
      <c r="Q61" s="12">
        <v>280404</v>
      </c>
      <c r="R61" s="12">
        <f t="shared" si="105"/>
        <v>280404</v>
      </c>
      <c r="S61" s="12">
        <v>0</v>
      </c>
      <c r="T61" s="12">
        <v>0.13999999999941792</v>
      </c>
      <c r="U61" s="12">
        <f t="shared" si="106"/>
        <v>0.13999999999941792</v>
      </c>
      <c r="V61" s="12">
        <v>27674.33</v>
      </c>
      <c r="W61" s="12"/>
      <c r="X61" s="12"/>
      <c r="Y61" s="12">
        <f t="shared" si="107"/>
        <v>27674.33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-27674.33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8" t="s">
        <v>0</v>
      </c>
      <c r="C62" s="118"/>
      <c r="D62" s="118"/>
      <c r="E62" s="118"/>
      <c r="F62" s="118"/>
      <c r="G62" s="118"/>
      <c r="H62" s="118"/>
      <c r="I62" s="118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4"/>
        <v>-5497492.0700000003</v>
      </c>
      <c r="Q62" s="12">
        <v>-5497492.0700000003</v>
      </c>
      <c r="R62" s="12">
        <f t="shared" si="105"/>
        <v>-5497492.0700000003</v>
      </c>
      <c r="S62" s="12">
        <v>-698316.82</v>
      </c>
      <c r="T62" s="12">
        <v>-698316.82000000018</v>
      </c>
      <c r="U62" s="12">
        <f t="shared" si="106"/>
        <v>-698316.82000000018</v>
      </c>
      <c r="V62" s="12">
        <v>-1097464.69</v>
      </c>
      <c r="W62" s="12"/>
      <c r="X62" s="12"/>
      <c r="Y62" s="12">
        <f t="shared" si="107"/>
        <v>-1097464.69</v>
      </c>
      <c r="Z62" s="12">
        <v>0</v>
      </c>
      <c r="AA62" s="12">
        <v>0</v>
      </c>
      <c r="AB62" s="12">
        <v>0</v>
      </c>
      <c r="AC62" s="12">
        <v>-55800446.68</v>
      </c>
      <c r="AD62" s="12">
        <v>0</v>
      </c>
      <c r="AE62" s="12">
        <v>-57027215.719999999</v>
      </c>
      <c r="AF62" s="12">
        <f t="shared" si="24"/>
        <v>-57027215.719999999</v>
      </c>
      <c r="AG62" s="12">
        <f t="shared" si="10"/>
        <v>55800446.68</v>
      </c>
      <c r="AH62" s="44">
        <f t="shared" si="4"/>
        <v>-57027215.719999999</v>
      </c>
      <c r="AI62" s="44">
        <v>0</v>
      </c>
      <c r="AJ62" s="12">
        <f t="shared" si="11"/>
        <v>-57027215.719999999</v>
      </c>
      <c r="AK62" s="44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-57027215.719999999</v>
      </c>
      <c r="AO62" s="44">
        <v>0</v>
      </c>
      <c r="AP62" s="12">
        <f t="shared" si="14"/>
        <v>-55929751.030000001</v>
      </c>
      <c r="AQ62" s="44">
        <f t="shared" si="36"/>
        <v>5196.2688403214142</v>
      </c>
      <c r="AR62" s="12">
        <f>AF62-M62</f>
        <v>-53072473.259999998</v>
      </c>
      <c r="AS62" s="12">
        <f>IF(M62=0,0,AF62/M62*100)</f>
        <v>1441.995687375304</v>
      </c>
      <c r="AT62" s="34">
        <f>AF62</f>
        <v>-57027215.719999999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8">J54+J7</f>
        <v>2092393430.8699999</v>
      </c>
      <c r="K63" s="13">
        <f t="shared" si="108"/>
        <v>2071137908.7351346</v>
      </c>
      <c r="L63" s="28">
        <f t="shared" si="108"/>
        <v>881017080.54999995</v>
      </c>
      <c r="M63" s="26">
        <f t="shared" si="108"/>
        <v>869820240.21554315</v>
      </c>
      <c r="N63" s="12">
        <f t="shared" si="108"/>
        <v>2309803775.2699995</v>
      </c>
      <c r="O63" s="12">
        <f t="shared" si="108"/>
        <v>2328450949.6999998</v>
      </c>
      <c r="P63" s="12">
        <f t="shared" si="108"/>
        <v>2327457942.815587</v>
      </c>
      <c r="Q63" s="12">
        <f t="shared" si="108"/>
        <v>2328450949.6999998</v>
      </c>
      <c r="R63" s="12">
        <f t="shared" si="108"/>
        <v>2324234116.085587</v>
      </c>
      <c r="S63" s="12">
        <f t="shared" si="108"/>
        <v>2468054121.4099998</v>
      </c>
      <c r="T63" s="12">
        <f t="shared" si="108"/>
        <v>2473502940.9500003</v>
      </c>
      <c r="U63" s="12">
        <f t="shared" si="108"/>
        <v>2610269494.995842</v>
      </c>
      <c r="V63" s="12">
        <f t="shared" si="108"/>
        <v>140910164.55000001</v>
      </c>
      <c r="W63" s="12"/>
      <c r="X63" s="12">
        <f t="shared" ref="X63:AF63" si="109">X54+X7</f>
        <v>0</v>
      </c>
      <c r="Y63" s="12">
        <f t="shared" si="109"/>
        <v>147614596.68640703</v>
      </c>
      <c r="Z63" s="12">
        <f t="shared" si="109"/>
        <v>2141993785.2600002</v>
      </c>
      <c r="AA63" s="12">
        <f t="shared" si="109"/>
        <v>2125335858.95</v>
      </c>
      <c r="AB63" s="12">
        <f t="shared" si="109"/>
        <v>331189477.11000001</v>
      </c>
      <c r="AC63" s="12">
        <f t="shared" si="109"/>
        <v>-40624969.379999995</v>
      </c>
      <c r="AD63" s="12">
        <f t="shared" si="109"/>
        <v>18584896.740000002</v>
      </c>
      <c r="AE63" s="12">
        <f t="shared" si="109"/>
        <v>26518415.690000005</v>
      </c>
      <c r="AF63" s="12">
        <f t="shared" si="109"/>
        <v>45103312.43</v>
      </c>
      <c r="AG63" s="12">
        <f t="shared" si="10"/>
        <v>59209866.119999997</v>
      </c>
      <c r="AH63" s="12">
        <f t="shared" si="4"/>
        <v>-2096890472.8300002</v>
      </c>
      <c r="AI63" s="12">
        <f>AF63/Z63*100</f>
        <v>2.1056696214702257</v>
      </c>
      <c r="AJ63" s="12">
        <f>AF63-AA63</f>
        <v>-2080232546.52</v>
      </c>
      <c r="AK63" s="12">
        <f t="shared" si="19"/>
        <v>2.1221734080317463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-286086164.68000001</v>
      </c>
      <c r="AO63" s="12">
        <f t="shared" si="13"/>
        <v>13.618582578038721</v>
      </c>
      <c r="AP63" s="12">
        <f t="shared" si="14"/>
        <v>-102511284.25640702</v>
      </c>
      <c r="AQ63" s="12">
        <f t="shared" si="36"/>
        <v>30.554778079174401</v>
      </c>
      <c r="AR63" s="12">
        <f>AF63-M63</f>
        <v>-824716927.7855432</v>
      </c>
      <c r="AS63" s="12">
        <f>IF(M63=0,0,AF63/M63*100)</f>
        <v>5.1853601864706338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75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147614596.68640703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26518415.690000005</v>
      </c>
      <c r="AF65" s="110">
        <v>1229277981.27</v>
      </c>
      <c r="AG65" s="95"/>
      <c r="AJ65" s="89"/>
      <c r="AK65" s="116"/>
      <c r="AL65" s="116"/>
      <c r="AM65" s="116"/>
      <c r="AN65" s="116"/>
      <c r="AO65" s="116"/>
      <c r="AP65" s="116"/>
    </row>
    <row r="66" spans="1:44" s="78" customFormat="1" ht="18" customHeight="1" x14ac:dyDescent="0.3">
      <c r="I66" s="78" t="s">
        <v>83</v>
      </c>
      <c r="O66" s="78" t="s">
        <v>40</v>
      </c>
      <c r="Q66" s="88"/>
      <c r="V66" s="88">
        <f>V63-V10+Y10</f>
        <v>147614596.68640703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2024-01-26T13:22:59Z</cp:lastPrinted>
  <dcterms:created xsi:type="dcterms:W3CDTF">2018-12-30T09:36:16Z</dcterms:created>
  <dcterms:modified xsi:type="dcterms:W3CDTF">2024-02-02T12:18:29Z</dcterms:modified>
</cp:coreProperties>
</file>